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Force RTX\Desktop\VIVENDI Investment Group\"/>
    </mc:Choice>
  </mc:AlternateContent>
  <xr:revisionPtr revIDLastSave="0" documentId="13_ncr:1_{264926CC-8080-4620-AD80-7EEDC2F8F711}" xr6:coauthVersionLast="47" xr6:coauthVersionMax="47" xr10:uidLastSave="{00000000-0000-0000-0000-000000000000}"/>
  <bookViews>
    <workbookView xWindow="-108" yWindow="-108" windowWidth="23256" windowHeight="12576" xr2:uid="{6F11DD7A-431D-4598-AA15-30B9FB02DDF8}"/>
  </bookViews>
  <sheets>
    <sheet name="Calculadora VIVENDI" sheetId="1" r:id="rId1"/>
    <sheet name="Interés Compuesto VIVENDI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2" l="1"/>
  <c r="G34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38" i="2"/>
  <c r="F36" i="2"/>
  <c r="F37" i="2"/>
  <c r="F35" i="2"/>
  <c r="B12" i="2"/>
  <c r="B11" i="2"/>
  <c r="E17" i="2" s="1"/>
  <c r="C34" i="1"/>
  <c r="E39" i="1" s="1"/>
  <c r="F39" i="1" s="1"/>
  <c r="C20" i="1"/>
  <c r="E25" i="1" s="1"/>
  <c r="C49" i="1"/>
  <c r="C63" i="1"/>
  <c r="C33" i="1"/>
  <c r="C21" i="1"/>
  <c r="D12" i="1"/>
  <c r="C19" i="1"/>
  <c r="B25" i="1"/>
  <c r="C68" i="1"/>
  <c r="B68" i="1"/>
  <c r="F68" i="1" s="1"/>
  <c r="C53" i="1"/>
  <c r="B53" i="1"/>
  <c r="B39" i="1"/>
  <c r="C39" i="1"/>
  <c r="E34" i="2" l="1"/>
  <c r="B14" i="2"/>
  <c r="F17" i="2" s="1"/>
  <c r="G17" i="2" s="1"/>
  <c r="E18" i="2" s="1"/>
  <c r="D39" i="1"/>
  <c r="G39" i="1" s="1"/>
  <c r="H39" i="1" s="1"/>
  <c r="I39" i="1" s="1"/>
  <c r="C25" i="1"/>
  <c r="D25" i="1" s="1"/>
  <c r="F25" i="1" s="1"/>
  <c r="G25" i="1" s="1"/>
  <c r="D53" i="1"/>
  <c r="D68" i="1"/>
  <c r="E68" i="1" s="1"/>
  <c r="G68" i="1" s="1"/>
  <c r="H68" i="1" s="1"/>
  <c r="I68" i="1" s="1"/>
  <c r="J68" i="1" s="1"/>
  <c r="E35" i="2" l="1"/>
  <c r="G25" i="2"/>
  <c r="F18" i="2"/>
  <c r="G18" i="2" s="1"/>
  <c r="E19" i="2" s="1"/>
  <c r="F19" i="2" s="1"/>
  <c r="G19" i="2" s="1"/>
  <c r="E20" i="2" s="1"/>
  <c r="F20" i="2" s="1"/>
  <c r="G20" i="2" s="1"/>
  <c r="E21" i="2" s="1"/>
  <c r="E53" i="1"/>
  <c r="F53" i="1" s="1"/>
  <c r="G53" i="1"/>
  <c r="I25" i="1"/>
  <c r="J25" i="1" s="1"/>
  <c r="G35" i="2" l="1"/>
  <c r="H35" i="2" s="1"/>
  <c r="E36" i="2" s="1"/>
  <c r="F21" i="2"/>
  <c r="G21" i="2" s="1"/>
  <c r="G23" i="2" s="1"/>
  <c r="G24" i="2" s="1"/>
  <c r="I53" i="1"/>
  <c r="J53" i="1" s="1"/>
  <c r="H53" i="1"/>
  <c r="K39" i="1"/>
  <c r="H25" i="1"/>
  <c r="G36" i="2" l="1"/>
  <c r="H36" i="2" s="1"/>
  <c r="E37" i="2" s="1"/>
  <c r="G26" i="2"/>
  <c r="G27" i="2"/>
  <c r="J39" i="1"/>
  <c r="L39" i="1"/>
  <c r="G37" i="2" l="1"/>
  <c r="H37" i="2" s="1"/>
  <c r="E38" i="2" s="1"/>
  <c r="G38" i="2" l="1"/>
  <c r="H38" i="2" s="1"/>
  <c r="E39" i="2" s="1"/>
  <c r="G39" i="2" s="1"/>
  <c r="H39" i="2" s="1"/>
  <c r="E40" i="2" s="1"/>
  <c r="G40" i="2" l="1"/>
  <c r="H40" i="2" l="1"/>
  <c r="E41" i="2" s="1"/>
  <c r="G41" i="2" l="1"/>
  <c r="H41" i="2" l="1"/>
  <c r="E42" i="2" s="1"/>
  <c r="G42" i="2" l="1"/>
  <c r="H42" i="2" s="1"/>
  <c r="E43" i="2" s="1"/>
  <c r="G43" i="2" l="1"/>
  <c r="H43" i="2"/>
  <c r="E44" i="2" s="1"/>
  <c r="G44" i="2" l="1"/>
  <c r="H44" i="2" l="1"/>
  <c r="E45" i="2" s="1"/>
  <c r="G45" i="2" l="1"/>
  <c r="H45" i="2" l="1"/>
  <c r="E46" i="2" s="1"/>
  <c r="G46" i="2" l="1"/>
  <c r="H46" i="2" l="1"/>
  <c r="E47" i="2" s="1"/>
  <c r="G47" i="2" l="1"/>
  <c r="H47" i="2" s="1"/>
  <c r="E48" i="2" s="1"/>
  <c r="G48" i="2" l="1"/>
  <c r="H48" i="2" l="1"/>
  <c r="E49" i="2" s="1"/>
  <c r="G49" i="2" l="1"/>
  <c r="H49" i="2" l="1"/>
  <c r="E50" i="2" s="1"/>
  <c r="G50" i="2" l="1"/>
  <c r="H50" i="2" l="1"/>
  <c r="E51" i="2" s="1"/>
  <c r="G51" i="2" l="1"/>
  <c r="H51" i="2" l="1"/>
  <c r="E52" i="2" s="1"/>
  <c r="G52" i="2" l="1"/>
  <c r="H52" i="2" l="1"/>
  <c r="E53" i="2" s="1"/>
  <c r="G53" i="2" l="1"/>
  <c r="H53" i="2" l="1"/>
  <c r="E54" i="2" s="1"/>
  <c r="G54" i="2" l="1"/>
  <c r="H54" i="2" l="1"/>
  <c r="E55" i="2" s="1"/>
  <c r="G55" i="2" l="1"/>
  <c r="H55" i="2" l="1"/>
  <c r="E56" i="2" s="1"/>
  <c r="G56" i="2" l="1"/>
  <c r="H56" i="2" l="1"/>
  <c r="E57" i="2" s="1"/>
  <c r="G57" i="2" l="1"/>
  <c r="H57" i="2" l="1"/>
  <c r="E58" i="2" s="1"/>
  <c r="G58" i="2" l="1"/>
  <c r="H58" i="2" l="1"/>
  <c r="E59" i="2" s="1"/>
  <c r="G59" i="2" l="1"/>
  <c r="H59" i="2" s="1"/>
  <c r="E60" i="2" l="1"/>
  <c r="G60" i="2" l="1"/>
  <c r="H60" i="2" s="1"/>
  <c r="E61" i="2" s="1"/>
  <c r="G61" i="2" l="1"/>
  <c r="H61" i="2" l="1"/>
  <c r="E62" i="2" s="1"/>
  <c r="G62" i="2" l="1"/>
  <c r="H62" i="2" l="1"/>
  <c r="E63" i="2" s="1"/>
  <c r="G63" i="2" l="1"/>
  <c r="H63" i="2" l="1"/>
  <c r="E64" i="2" s="1"/>
  <c r="G64" i="2" l="1"/>
  <c r="H64" i="2" l="1"/>
  <c r="E65" i="2" s="1"/>
  <c r="G65" i="2" l="1"/>
  <c r="H65" i="2" l="1"/>
  <c r="E66" i="2" s="1"/>
  <c r="G66" i="2" l="1"/>
  <c r="H66" i="2" l="1"/>
  <c r="E67" i="2" s="1"/>
  <c r="G67" i="2" l="1"/>
  <c r="H67" i="2" l="1"/>
  <c r="E68" i="2" s="1"/>
  <c r="G68" i="2" l="1"/>
  <c r="H68" i="2" l="1"/>
  <c r="E69" i="2" s="1"/>
  <c r="G69" i="2" l="1"/>
  <c r="H69" i="2" l="1"/>
  <c r="E70" i="2" s="1"/>
  <c r="G70" i="2" l="1"/>
  <c r="H70" i="2" l="1"/>
  <c r="E71" i="2" s="1"/>
  <c r="G71" i="2" l="1"/>
  <c r="H71" i="2" l="1"/>
  <c r="E72" i="2" s="1"/>
  <c r="G72" i="2" l="1"/>
  <c r="H72" i="2" s="1"/>
  <c r="E73" i="2" l="1"/>
  <c r="G73" i="2" l="1"/>
  <c r="H73" i="2" s="1"/>
  <c r="E74" i="2" l="1"/>
  <c r="G74" i="2" l="1"/>
  <c r="H74" i="2" s="1"/>
  <c r="E75" i="2" l="1"/>
  <c r="G75" i="2" l="1"/>
  <c r="H75" i="2" s="1"/>
  <c r="E76" i="2" s="1"/>
  <c r="G76" i="2" l="1"/>
  <c r="H76" i="2" l="1"/>
  <c r="E77" i="2" s="1"/>
  <c r="G77" i="2" l="1"/>
  <c r="H77" i="2" l="1"/>
  <c r="E78" i="2" s="1"/>
  <c r="G78" i="2" l="1"/>
  <c r="H78" i="2" l="1"/>
  <c r="E79" i="2" s="1"/>
  <c r="G79" i="2" l="1"/>
  <c r="H79" i="2" l="1"/>
  <c r="E80" i="2" s="1"/>
  <c r="G80" i="2" l="1"/>
  <c r="H80" i="2" l="1"/>
  <c r="E81" i="2" s="1"/>
  <c r="G81" i="2" l="1"/>
  <c r="H81" i="2" l="1"/>
  <c r="E82" i="2" s="1"/>
  <c r="G82" i="2" l="1"/>
  <c r="H82" i="2" l="1"/>
  <c r="E83" i="2" s="1"/>
  <c r="G83" i="2" l="1"/>
  <c r="H83" i="2" s="1"/>
</calcChain>
</file>

<file path=xl/sharedStrings.xml><?xml version="1.0" encoding="utf-8"?>
<sst xmlns="http://schemas.openxmlformats.org/spreadsheetml/2006/main" count="133" uniqueCount="91">
  <si>
    <t>Inversión Total</t>
  </si>
  <si>
    <t>Pre-Venta?</t>
  </si>
  <si>
    <t>Si</t>
  </si>
  <si>
    <t>Rendimiento Porcentual Total</t>
  </si>
  <si>
    <t>Rendimiento Anual Aproximado</t>
  </si>
  <si>
    <t>Valorización por PreVenta:</t>
  </si>
  <si>
    <t>Valorización total de un apartamento que compras en Preventa es de entre el 5% y 20% en el plazo de Construcción</t>
  </si>
  <si>
    <t>Valorización anual:</t>
  </si>
  <si>
    <t>VARIABLES</t>
  </si>
  <si>
    <t>Nota:</t>
  </si>
  <si>
    <t>El Cálculo no contempla gastos de mantenimiento, impuestos, comisiones por venta o alquiler y otros gastos existentes</t>
  </si>
  <si>
    <t>Compra en PreVenta?</t>
  </si>
  <si>
    <t>Ingresa la palabra "Si" o "No" en función de si estas comprando en PreVenta o No</t>
  </si>
  <si>
    <t>Se considerarán 12 meses del año alquilados a partir del año 3 al 5 si lo compraste en PreVenta y de un total de 5 años si lo compraste listo para ser alquilado</t>
  </si>
  <si>
    <t>Valorización Anual del apartamento $us.</t>
  </si>
  <si>
    <t>VARIABLE PRINCIPAL</t>
  </si>
  <si>
    <t>NOTA:</t>
  </si>
  <si>
    <t>Modifica únicamente las casillas en color VERDE</t>
  </si>
  <si>
    <t>DEPOSITO A PLAZO FIJO (DPF)</t>
  </si>
  <si>
    <t>Moneda</t>
  </si>
  <si>
    <t>BOB</t>
  </si>
  <si>
    <t>Tipo de Cambio</t>
  </si>
  <si>
    <t>Plazo en Años</t>
  </si>
  <si>
    <t>Inversión Total BOB</t>
  </si>
  <si>
    <t>Rendimiento Anual</t>
  </si>
  <si>
    <t>Interés Anual</t>
  </si>
  <si>
    <t>Todos los DPF en Bolivia son manejados en Bolivianos</t>
  </si>
  <si>
    <t>Selecciona el tipo de cambio al que podrás cambiar tus dolares</t>
  </si>
  <si>
    <t>Los DPF's en Bolivia, por lo general rentan entre un 3.5% y un 7%. Consulta con tu banco por que existen limitaciones si quieres invertir montos mayores a Bs. 70,000</t>
  </si>
  <si>
    <t>Para este ejercicio y, para poder comparar, analizaremos únicamente DPF's a 5 años plazo</t>
  </si>
  <si>
    <t>FONDO DE INVERSION - SAFI</t>
  </si>
  <si>
    <t>Todos los fondos de inversión en Bolivia son manejados en Bolivianos</t>
  </si>
  <si>
    <t>Comisión</t>
  </si>
  <si>
    <t>Los SAFI's en Bolivia rentan generalmente entre 3.5% y 10% anual, pero el inversionistsa asume el riesgo junto con el gestor SAFI. Los fondos en dolares rentan anualmente menos del 1%</t>
  </si>
  <si>
    <t>Para este ejercicio y, para poder comparar, analizaremos únicamente 5 años plazo</t>
  </si>
  <si>
    <t>INVERSION CON VIVENDI INVESTMENT GROUP</t>
  </si>
  <si>
    <t>$US</t>
  </si>
  <si>
    <t>Gastos Financieros</t>
  </si>
  <si>
    <t>Donde Está el Dinero?</t>
  </si>
  <si>
    <t>Escribe "USA" si tus dinero ya se encuentra en Estados Unidos, listo para invertir. En caso de que no, se cobra un 3.5% por gastos financieros de envío del dinero a nuestras cuentas.</t>
  </si>
  <si>
    <t>VIVENDI no cobra ninguna comisión por la gestión de capital</t>
  </si>
  <si>
    <t>Rendimiento Anual $us</t>
  </si>
  <si>
    <t>Monto Inicial de Inversión $us. (Fuera de gastos financieros)</t>
  </si>
  <si>
    <t>Solamente si se invierte desde Bolivia, ya sea en Bolivianos o en Dólares, u otro país fuera de USA, este monto cubre los gastos financieros de envío del capital invertido al extranjero</t>
  </si>
  <si>
    <t>COMPRA DE CASA O APARTAMENTO</t>
  </si>
  <si>
    <t>Los SAFI's manejados en Dólares en Bolivia son sumamente escasos y rentan solamente entre el 0.3% y 0.7% anual. Algunos SAFI's pueden incluir gastos menores adicionales por trámites y papeleo.</t>
  </si>
  <si>
    <t>SI</t>
  </si>
  <si>
    <t>NO</t>
  </si>
  <si>
    <t>Alquiler Aproximado:</t>
  </si>
  <si>
    <t>PROTECCION CONTRA LA DEVALUACION?:</t>
  </si>
  <si>
    <r>
      <t xml:space="preserve">Esta plantilla ha sido creada y compartida por </t>
    </r>
    <r>
      <rPr>
        <b/>
        <sz val="12"/>
        <color theme="1"/>
        <rFont val="Calibri"/>
        <family val="2"/>
        <scheme val="minor"/>
      </rPr>
      <t>VIVENDI INVESTMENT GROUP</t>
    </r>
    <r>
      <rPr>
        <sz val="12"/>
        <color theme="1"/>
        <rFont val="Calibri"/>
        <family val="2"/>
        <scheme val="minor"/>
      </rPr>
      <t xml:space="preserve"> para su uso </t>
    </r>
    <r>
      <rPr>
        <b/>
        <sz val="12"/>
        <color theme="1"/>
        <rFont val="Calibri"/>
        <family val="2"/>
        <scheme val="minor"/>
      </rPr>
      <t>GRATUITO</t>
    </r>
    <r>
      <rPr>
        <sz val="12"/>
        <color theme="1"/>
        <rFont val="Calibri"/>
        <family val="2"/>
        <scheme val="minor"/>
      </rPr>
      <t xml:space="preserve"> por clientes y seguidores de nuestra empresa, su venta o distibución, está terminantemente prohibida. VISITA </t>
    </r>
    <r>
      <rPr>
        <b/>
        <sz val="12"/>
        <color theme="1"/>
        <rFont val="Calibri"/>
        <family val="2"/>
        <scheme val="minor"/>
      </rPr>
      <t>www.vivendiinvestmentgroup.com</t>
    </r>
    <r>
      <rPr>
        <sz val="12"/>
        <color theme="1"/>
        <rFont val="Calibri"/>
        <family val="2"/>
        <scheme val="minor"/>
      </rPr>
      <t xml:space="preserve"> para mayor información.</t>
    </r>
  </si>
  <si>
    <t>INGRESA: Monto Disponible para Invertir en  $us.</t>
  </si>
  <si>
    <t>Plazo de la Inversión en Años</t>
  </si>
  <si>
    <r>
      <t xml:space="preserve">El interés anual depende del monto a invertir </t>
    </r>
    <r>
      <rPr>
        <b/>
        <sz val="12"/>
        <color theme="5"/>
        <rFont val="Calibri"/>
        <family val="2"/>
        <scheme val="minor"/>
      </rPr>
      <t>Y DESDE $us. 5000</t>
    </r>
    <r>
      <rPr>
        <sz val="12"/>
        <color theme="1"/>
        <rFont val="Calibri"/>
        <family val="2"/>
        <scheme val="minor"/>
      </rPr>
      <t xml:space="preserve">, consulta </t>
    </r>
    <r>
      <rPr>
        <b/>
        <sz val="12"/>
        <color theme="5"/>
        <rFont val="Calibri"/>
        <family val="2"/>
        <scheme val="minor"/>
      </rPr>
      <t>www.vivendiinvestmentgroup.com</t>
    </r>
    <r>
      <rPr>
        <sz val="12"/>
        <color theme="1"/>
        <rFont val="Calibri"/>
        <family val="2"/>
        <scheme val="minor"/>
      </rPr>
      <t xml:space="preserve"> para mayor información</t>
    </r>
  </si>
  <si>
    <t>Valorización tras construcción (2 años de Construcción)</t>
  </si>
  <si>
    <t>Alquiler Mensual en $us. A partir de que está Construído</t>
  </si>
  <si>
    <t>Valor aprox del bien tras plazo de Inversion $us.</t>
  </si>
  <si>
    <t>Rendimiento Total en función de los años plazo $us</t>
  </si>
  <si>
    <t>Cuánto dinero en $us. Quieres invertir y por cuánto tiempo?</t>
  </si>
  <si>
    <t>Alquiler Total recibido desde que está construído $us.</t>
  </si>
  <si>
    <t>Un apartamento en Bolivia se valoriza anualmente entre un 0.2% y 2.5%</t>
  </si>
  <si>
    <t>Monto total final $us (Inversión + Rendimiento)</t>
  </si>
  <si>
    <t>Los DPF's no generan comisiones, pero pueden existir restricciones y rendimientos menores para DPF's de montos mayores a Bs. 70,000</t>
  </si>
  <si>
    <t xml:space="preserve">Los SAFI's en Bolivia generalmente cobran una comisión por la gestión de al rededor del 1% sobre el monto invertido </t>
  </si>
  <si>
    <t xml:space="preserve">CALCULADORA DE RENDIMIENTOS DE INVERSIÓN </t>
  </si>
  <si>
    <t>Quieres más herramientas como esta?</t>
  </si>
  <si>
    <t>Inversión inicial en $us.</t>
  </si>
  <si>
    <t>Interés Porcentual Anual</t>
  </si>
  <si>
    <t>Año</t>
  </si>
  <si>
    <t>Capital Final $us</t>
  </si>
  <si>
    <t>Intereses $us</t>
  </si>
  <si>
    <t>Capital Inicial $us</t>
  </si>
  <si>
    <t>Capital Total Final $us.</t>
  </si>
  <si>
    <t>Rendimiento Total Porcentual</t>
  </si>
  <si>
    <t>Rendimiento Anual Promedio</t>
  </si>
  <si>
    <t>Total Intereses Compuesto $us.</t>
  </si>
  <si>
    <t>Total Interés Simple $us.</t>
  </si>
  <si>
    <t xml:space="preserve">INTERES COMPUESTO FINAL CON VIVENDI </t>
  </si>
  <si>
    <r>
      <t xml:space="preserve">Rendimiento Anual </t>
    </r>
    <r>
      <rPr>
        <b/>
        <sz val="12"/>
        <color rgb="FFFF0000"/>
        <rFont val="Calibri"/>
        <family val="2"/>
        <scheme val="minor"/>
      </rPr>
      <t>BOB</t>
    </r>
  </si>
  <si>
    <r>
      <t xml:space="preserve">Rendimiento Total en función del plazo </t>
    </r>
    <r>
      <rPr>
        <b/>
        <sz val="12"/>
        <color rgb="FFFF0000"/>
        <rFont val="Calibri"/>
        <family val="2"/>
        <scheme val="minor"/>
      </rPr>
      <t>BOB</t>
    </r>
  </si>
  <si>
    <r>
      <t xml:space="preserve">Comisión </t>
    </r>
    <r>
      <rPr>
        <b/>
        <sz val="12"/>
        <color rgb="FFFF0000"/>
        <rFont val="Calibri"/>
        <family val="2"/>
        <scheme val="minor"/>
      </rPr>
      <t>BOB</t>
    </r>
  </si>
  <si>
    <r>
      <t xml:space="preserve">Monto total final </t>
    </r>
    <r>
      <rPr>
        <b/>
        <sz val="12"/>
        <color rgb="FFFF0000"/>
        <rFont val="Calibri"/>
        <family val="2"/>
        <scheme val="minor"/>
      </rPr>
      <t>BOB</t>
    </r>
    <r>
      <rPr>
        <b/>
        <sz val="12"/>
        <color theme="1"/>
        <rFont val="Calibri"/>
        <family val="2"/>
        <scheme val="minor"/>
      </rPr>
      <t xml:space="preserve"> (Inversión + Rendimiento - Comisión)</t>
    </r>
  </si>
  <si>
    <r>
      <t xml:space="preserve">Monto total final </t>
    </r>
    <r>
      <rPr>
        <b/>
        <sz val="12"/>
        <color rgb="FFFF0000"/>
        <rFont val="Calibri"/>
        <family val="2"/>
        <scheme val="minor"/>
      </rPr>
      <t>BOB</t>
    </r>
    <r>
      <rPr>
        <b/>
        <sz val="12"/>
        <color theme="1"/>
        <rFont val="Calibri"/>
        <family val="2"/>
        <scheme val="minor"/>
      </rPr>
      <t xml:space="preserve"> (Inversión + Rendimiento)</t>
    </r>
  </si>
  <si>
    <r>
      <t>Rendimiento Anual en</t>
    </r>
    <r>
      <rPr>
        <b/>
        <sz val="12"/>
        <color theme="9" tint="-0.249977111117893"/>
        <rFont val="Calibri"/>
        <family val="2"/>
        <scheme val="minor"/>
      </rPr>
      <t xml:space="preserve"> $us.</t>
    </r>
  </si>
  <si>
    <r>
      <t xml:space="preserve">Rendimiento Total en </t>
    </r>
    <r>
      <rPr>
        <b/>
        <sz val="12"/>
        <color theme="9" tint="-0.249977111117893"/>
        <rFont val="Calibri"/>
        <family val="2"/>
        <scheme val="minor"/>
      </rPr>
      <t>$us.</t>
    </r>
  </si>
  <si>
    <t>USA</t>
  </si>
  <si>
    <t>Esto generarías si decides recibir tu dinero con interés anual simple</t>
  </si>
  <si>
    <t>TABLA DE RENDIMIENTO DE INTERES COMPUESTO A 50 AÑOS</t>
  </si>
  <si>
    <t>Inversión Adicional $us</t>
  </si>
  <si>
    <t>Inversión Adicional ANUAL $us.</t>
  </si>
  <si>
    <t>Ingresa un monto si Invertiras algo adicional cada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</si>
</sst>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[$BOB]\ * #,##0.00_);_([$BOB]\ * \(#,##0.00\);_([$BOB]\ * &quot;-&quot;??_);_(@_)"/>
    <numFmt numFmtId="165" formatCode="0.0%"/>
    <numFmt numFmtId="166" formatCode="0.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C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9" tint="0.59999389629810485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3"/>
      <color theme="9" tint="0.59999389629810485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9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9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wrapText="1"/>
      <protection locked="0"/>
    </xf>
    <xf numFmtId="44" fontId="2" fillId="2" borderId="14" xfId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center"/>
    </xf>
    <xf numFmtId="0" fontId="2" fillId="0" borderId="13" xfId="0" applyFont="1" applyBorder="1" applyAlignment="1">
      <alignment horizontal="center"/>
    </xf>
    <xf numFmtId="0" fontId="4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2" fillId="0" borderId="13" xfId="0" applyFont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9" fontId="2" fillId="2" borderId="0" xfId="0" applyNumberFormat="1" applyFont="1" applyFill="1" applyAlignment="1" applyProtection="1">
      <alignment horizontal="center"/>
      <protection locked="0"/>
    </xf>
    <xf numFmtId="10" fontId="2" fillId="2" borderId="0" xfId="0" applyNumberFormat="1" applyFont="1" applyFill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0" borderId="7" xfId="0" applyFont="1" applyBorder="1" applyProtection="1">
      <protection locked="0"/>
    </xf>
    <xf numFmtId="0" fontId="2" fillId="4" borderId="8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44" fontId="4" fillId="0" borderId="11" xfId="1" applyFont="1" applyBorder="1" applyProtection="1"/>
    <xf numFmtId="10" fontId="2" fillId="0" borderId="11" xfId="2" applyNumberFormat="1" applyFont="1" applyBorder="1" applyProtection="1"/>
    <xf numFmtId="10" fontId="2" fillId="3" borderId="12" xfId="2" applyNumberFormat="1" applyFont="1" applyFill="1" applyBorder="1" applyProtection="1"/>
    <xf numFmtId="0" fontId="4" fillId="0" borderId="0" xfId="0" applyFont="1"/>
    <xf numFmtId="0" fontId="6" fillId="5" borderId="0" xfId="0" applyFont="1" applyFill="1" applyAlignment="1">
      <alignment horizontal="center"/>
    </xf>
    <xf numFmtId="2" fontId="2" fillId="2" borderId="0" xfId="0" applyNumberFormat="1" applyFont="1" applyFill="1" applyAlignment="1" applyProtection="1">
      <alignment horizontal="center"/>
      <protection locked="0"/>
    </xf>
    <xf numFmtId="10" fontId="2" fillId="2" borderId="0" xfId="1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 applyProtection="1">
      <alignment horizontal="center"/>
      <protection locked="0"/>
    </xf>
    <xf numFmtId="0" fontId="4" fillId="0" borderId="15" xfId="0" applyFont="1" applyBorder="1" applyProtection="1">
      <protection locked="0"/>
    </xf>
    <xf numFmtId="0" fontId="4" fillId="0" borderId="18" xfId="0" applyFont="1" applyBorder="1" applyProtection="1">
      <protection locked="0"/>
    </xf>
    <xf numFmtId="0" fontId="2" fillId="4" borderId="1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164" fontId="4" fillId="0" borderId="10" xfId="1" applyNumberFormat="1" applyFont="1" applyBorder="1" applyProtection="1"/>
    <xf numFmtId="10" fontId="4" fillId="0" borderId="11" xfId="1" applyNumberFormat="1" applyFont="1" applyBorder="1" applyProtection="1"/>
    <xf numFmtId="164" fontId="4" fillId="0" borderId="11" xfId="1" applyNumberFormat="1" applyFont="1" applyBorder="1" applyProtection="1"/>
    <xf numFmtId="164" fontId="4" fillId="0" borderId="11" xfId="0" applyNumberFormat="1" applyFont="1" applyBorder="1"/>
    <xf numFmtId="9" fontId="2" fillId="2" borderId="0" xfId="2" applyFont="1" applyFill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10" fillId="5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11" fillId="6" borderId="6" xfId="0" applyFont="1" applyFill="1" applyBorder="1" applyAlignment="1">
      <alignment horizontal="center"/>
    </xf>
    <xf numFmtId="0" fontId="11" fillId="6" borderId="0" xfId="0" applyFont="1" applyFill="1" applyAlignment="1">
      <alignment horizontal="center"/>
    </xf>
    <xf numFmtId="0" fontId="13" fillId="5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2" borderId="0" xfId="0" applyFont="1" applyFill="1" applyAlignment="1" applyProtection="1">
      <alignment horizontal="center"/>
      <protection locked="0"/>
    </xf>
    <xf numFmtId="165" fontId="11" fillId="6" borderId="0" xfId="2" applyNumberFormat="1" applyFont="1" applyFill="1" applyAlignment="1" applyProtection="1">
      <alignment horizontal="center"/>
    </xf>
    <xf numFmtId="10" fontId="11" fillId="6" borderId="0" xfId="1" applyNumberFormat="1" applyFont="1" applyFill="1" applyBorder="1" applyAlignment="1" applyProtection="1">
      <alignment horizontal="center"/>
    </xf>
    <xf numFmtId="0" fontId="11" fillId="0" borderId="17" xfId="0" applyFont="1" applyBorder="1" applyAlignment="1" applyProtection="1">
      <alignment horizontal="center"/>
      <protection locked="0"/>
    </xf>
    <xf numFmtId="0" fontId="14" fillId="0" borderId="15" xfId="0" applyFont="1" applyBorder="1" applyProtection="1">
      <protection locked="0"/>
    </xf>
    <xf numFmtId="0" fontId="14" fillId="0" borderId="18" xfId="0" applyFont="1" applyBorder="1" applyProtection="1">
      <protection locked="0"/>
    </xf>
    <xf numFmtId="0" fontId="11" fillId="4" borderId="8" xfId="0" applyFont="1" applyFill="1" applyBorder="1" applyAlignment="1">
      <alignment horizontal="center" vertical="center"/>
    </xf>
    <xf numFmtId="0" fontId="11" fillId="4" borderId="2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4" fillId="0" borderId="0" xfId="0" applyFont="1" applyProtection="1">
      <protection locked="0"/>
    </xf>
    <xf numFmtId="44" fontId="14" fillId="0" borderId="10" xfId="1" applyFont="1" applyBorder="1" applyProtection="1"/>
    <xf numFmtId="44" fontId="14" fillId="0" borderId="11" xfId="1" applyFont="1" applyBorder="1" applyProtection="1"/>
    <xf numFmtId="10" fontId="11" fillId="0" borderId="11" xfId="2" applyNumberFormat="1" applyFont="1" applyBorder="1" applyProtection="1"/>
    <xf numFmtId="10" fontId="11" fillId="3" borderId="12" xfId="2" applyNumberFormat="1" applyFont="1" applyFill="1" applyBorder="1" applyProtection="1"/>
    <xf numFmtId="0" fontId="4" fillId="0" borderId="6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44" fontId="2" fillId="2" borderId="0" xfId="1" applyFont="1" applyFill="1" applyBorder="1" applyAlignment="1" applyProtection="1">
      <alignment horizontal="center" wrapText="1"/>
      <protection locked="0"/>
    </xf>
    <xf numFmtId="166" fontId="14" fillId="0" borderId="11" xfId="1" applyNumberFormat="1" applyFont="1" applyBorder="1" applyProtection="1"/>
    <xf numFmtId="0" fontId="2" fillId="0" borderId="0" xfId="0" applyFont="1" applyAlignment="1">
      <alignment horizontal="center" vertical="center"/>
    </xf>
    <xf numFmtId="1" fontId="2" fillId="2" borderId="14" xfId="1" applyNumberFormat="1" applyFont="1" applyFill="1" applyBorder="1" applyAlignment="1" applyProtection="1">
      <alignment horizontal="center" vertical="center"/>
      <protection locked="0"/>
    </xf>
    <xf numFmtId="0" fontId="16" fillId="0" borderId="0" xfId="0" applyFont="1" applyProtection="1">
      <protection locked="0"/>
    </xf>
    <xf numFmtId="44" fontId="4" fillId="0" borderId="11" xfId="1" applyFont="1" applyBorder="1" applyAlignment="1" applyProtection="1">
      <alignment horizontal="center" vertical="center" wrapText="1"/>
    </xf>
    <xf numFmtId="44" fontId="4" fillId="0" borderId="10" xfId="1" applyFont="1" applyBorder="1" applyAlignment="1" applyProtection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4" fontId="4" fillId="0" borderId="11" xfId="0" applyNumberFormat="1" applyFont="1" applyBorder="1" applyAlignment="1">
      <alignment horizontal="center" vertical="center" wrapText="1"/>
    </xf>
    <xf numFmtId="10" fontId="2" fillId="0" borderId="11" xfId="2" applyNumberFormat="1" applyFont="1" applyFill="1" applyBorder="1" applyAlignment="1" applyProtection="1">
      <alignment horizontal="center" vertical="center" wrapText="1"/>
    </xf>
    <xf numFmtId="10" fontId="2" fillId="3" borderId="12" xfId="2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1" fontId="2" fillId="0" borderId="0" xfId="0" applyNumberFormat="1" applyFont="1" applyAlignment="1">
      <alignment horizontal="center"/>
    </xf>
    <xf numFmtId="1" fontId="11" fillId="6" borderId="0" xfId="0" applyNumberFormat="1" applyFont="1" applyFill="1" applyAlignment="1">
      <alignment horizontal="center"/>
    </xf>
    <xf numFmtId="44" fontId="4" fillId="0" borderId="11" xfId="1" applyFont="1" applyFill="1" applyBorder="1" applyAlignment="1" applyProtection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15" fillId="0" borderId="7" xfId="0" applyFont="1" applyBorder="1" applyAlignment="1">
      <alignment horizontal="left"/>
    </xf>
    <xf numFmtId="0" fontId="11" fillId="8" borderId="3" xfId="0" applyFont="1" applyFill="1" applyBorder="1" applyAlignment="1">
      <alignment horizontal="center"/>
    </xf>
    <xf numFmtId="0" fontId="11" fillId="8" borderId="4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6" borderId="6" xfId="0" applyFont="1" applyFill="1" applyBorder="1" applyAlignment="1">
      <alignment horizontal="center"/>
    </xf>
    <xf numFmtId="0" fontId="11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14" fillId="0" borderId="7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0" fontId="12" fillId="5" borderId="0" xfId="0" applyFont="1" applyFill="1" applyAlignment="1">
      <alignment horizontal="right"/>
    </xf>
    <xf numFmtId="0" fontId="4" fillId="0" borderId="16" xfId="0" applyFont="1" applyBorder="1" applyAlignment="1">
      <alignment horizontal="left" wrapText="1"/>
    </xf>
    <xf numFmtId="0" fontId="4" fillId="0" borderId="14" xfId="0" applyFont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8" xfId="0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0" xfId="0" applyFont="1" applyFill="1" applyAlignment="1">
      <alignment horizontal="center"/>
    </xf>
    <xf numFmtId="0" fontId="5" fillId="5" borderId="0" xfId="0" applyFont="1" applyFill="1" applyAlignment="1">
      <alignment horizontal="right"/>
    </xf>
    <xf numFmtId="0" fontId="4" fillId="9" borderId="6" xfId="0" applyFont="1" applyFill="1" applyBorder="1" applyAlignment="1">
      <alignment horizontal="center" wrapText="1"/>
    </xf>
    <xf numFmtId="0" fontId="4" fillId="9" borderId="7" xfId="0" applyFont="1" applyFill="1" applyBorder="1" applyAlignment="1">
      <alignment horizontal="center" wrapText="1"/>
    </xf>
    <xf numFmtId="0" fontId="8" fillId="9" borderId="3" xfId="0" applyFont="1" applyFill="1" applyBorder="1" applyAlignment="1">
      <alignment horizontal="center"/>
    </xf>
    <xf numFmtId="0" fontId="8" fillId="9" borderId="5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7" xfId="0" applyFont="1" applyBorder="1" applyAlignment="1">
      <alignment horizontal="left"/>
    </xf>
    <xf numFmtId="0" fontId="2" fillId="8" borderId="0" xfId="0" applyFont="1" applyFill="1" applyAlignment="1">
      <alignment horizontal="left"/>
    </xf>
    <xf numFmtId="0" fontId="2" fillId="8" borderId="7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0" fillId="0" borderId="0" xfId="0" applyProtection="1"/>
    <xf numFmtId="0" fontId="9" fillId="0" borderId="6" xfId="0" applyFont="1" applyBorder="1" applyAlignment="1" applyProtection="1">
      <alignment horizontal="center"/>
    </xf>
    <xf numFmtId="0" fontId="9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wrapText="1"/>
    </xf>
    <xf numFmtId="0" fontId="2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left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4" fontId="18" fillId="0" borderId="1" xfId="0" applyNumberFormat="1" applyFont="1" applyFill="1" applyBorder="1" applyAlignment="1" applyProtection="1">
      <alignment horizontal="center"/>
    </xf>
    <xf numFmtId="1" fontId="18" fillId="0" borderId="1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2" borderId="23" xfId="0" applyFill="1" applyBorder="1" applyAlignment="1" applyProtection="1">
      <alignment horizontal="left"/>
    </xf>
    <xf numFmtId="0" fontId="0" fillId="2" borderId="0" xfId="0" applyFill="1" applyAlignment="1" applyProtection="1">
      <alignment horizontal="left"/>
    </xf>
    <xf numFmtId="0" fontId="2" fillId="0" borderId="1" xfId="0" applyFont="1" applyFill="1" applyBorder="1" applyAlignment="1" applyProtection="1">
      <alignment horizontal="center"/>
    </xf>
    <xf numFmtId="10" fontId="18" fillId="0" borderId="1" xfId="0" applyNumberFormat="1" applyFont="1" applyFill="1" applyBorder="1" applyAlignment="1" applyProtection="1">
      <alignment horizontal="center"/>
    </xf>
    <xf numFmtId="0" fontId="2" fillId="3" borderId="1" xfId="0" applyFont="1" applyFill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44" fontId="4" fillId="0" borderId="1" xfId="0" applyNumberFormat="1" applyFont="1" applyBorder="1" applyAlignment="1" applyProtection="1">
      <alignment horizontal="center"/>
    </xf>
    <xf numFmtId="44" fontId="4" fillId="0" borderId="1" xfId="1" applyFont="1" applyBorder="1" applyAlignment="1" applyProtection="1">
      <alignment horizontal="center"/>
    </xf>
    <xf numFmtId="0" fontId="4" fillId="0" borderId="22" xfId="0" applyFont="1" applyBorder="1" applyAlignment="1" applyProtection="1">
      <alignment horizontal="center"/>
    </xf>
    <xf numFmtId="44" fontId="4" fillId="0" borderId="22" xfId="0" applyNumberFormat="1" applyFont="1" applyBorder="1" applyAlignment="1" applyProtection="1">
      <alignment horizontal="center"/>
    </xf>
    <xf numFmtId="44" fontId="4" fillId="0" borderId="22" xfId="1" applyFont="1" applyBorder="1" applyAlignment="1" applyProtection="1">
      <alignment horizontal="center"/>
    </xf>
    <xf numFmtId="0" fontId="0" fillId="0" borderId="1" xfId="0" applyBorder="1" applyProtection="1"/>
    <xf numFmtId="44" fontId="18" fillId="0" borderId="1" xfId="0" applyNumberFormat="1" applyFont="1" applyBorder="1" applyProtection="1"/>
    <xf numFmtId="0" fontId="0" fillId="3" borderId="1" xfId="0" applyFill="1" applyBorder="1" applyProtection="1"/>
    <xf numFmtId="44" fontId="18" fillId="3" borderId="1" xfId="0" applyNumberFormat="1" applyFont="1" applyFill="1" applyBorder="1" applyProtection="1"/>
    <xf numFmtId="0" fontId="0" fillId="3" borderId="23" xfId="0" applyFill="1" applyBorder="1" applyAlignment="1" applyProtection="1">
      <alignment horizontal="center"/>
    </xf>
    <xf numFmtId="0" fontId="0" fillId="3" borderId="0" xfId="0" applyFill="1" applyAlignment="1" applyProtection="1">
      <alignment horizontal="center"/>
    </xf>
    <xf numFmtId="10" fontId="18" fillId="0" borderId="1" xfId="2" applyNumberFormat="1" applyFont="1" applyBorder="1" applyProtection="1"/>
    <xf numFmtId="9" fontId="18" fillId="0" borderId="1" xfId="2" applyFont="1" applyBorder="1" applyProtection="1"/>
    <xf numFmtId="9" fontId="18" fillId="0" borderId="0" xfId="2" applyFont="1" applyBorder="1" applyProtection="1"/>
    <xf numFmtId="0" fontId="3" fillId="3" borderId="0" xfId="0" applyFont="1" applyFill="1" applyAlignment="1" applyProtection="1">
      <alignment horizontal="center"/>
    </xf>
    <xf numFmtId="0" fontId="4" fillId="0" borderId="24" xfId="0" applyFont="1" applyBorder="1" applyAlignment="1" applyProtection="1">
      <alignment horizontal="center"/>
    </xf>
    <xf numFmtId="44" fontId="4" fillId="0" borderId="24" xfId="0" applyNumberFormat="1" applyFont="1" applyBorder="1" applyAlignment="1" applyProtection="1">
      <alignment horizontal="center"/>
    </xf>
    <xf numFmtId="44" fontId="4" fillId="0" borderId="24" xfId="1" applyFont="1" applyBorder="1" applyAlignment="1" applyProtection="1">
      <alignment horizontal="center"/>
    </xf>
    <xf numFmtId="44" fontId="4" fillId="0" borderId="20" xfId="0" applyNumberFormat="1" applyFont="1" applyBorder="1" applyAlignment="1" applyProtection="1">
      <alignment horizontal="center"/>
    </xf>
    <xf numFmtId="44" fontId="18" fillId="2" borderId="1" xfId="1" applyFont="1" applyFill="1" applyBorder="1" applyAlignment="1" applyProtection="1">
      <alignment horizontal="center"/>
      <protection locked="0"/>
    </xf>
  </cellXfs>
  <cellStyles count="3">
    <cellStyle name="Moneda" xfId="1" builtinId="4"/>
    <cellStyle name="Normal" xfId="0" builtinId="0"/>
    <cellStyle name="Porcentaje" xfId="2" builtinId="5"/>
  </cellStyles>
  <dxfs count="9"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strike val="0"/>
        <color theme="9" tint="-0.24994659260841701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iktok.com/@vivendi.investment?_t=ZM-8yDohTV1zXB&amp;_r=1" TargetMode="External"/><Relationship Id="rId3" Type="http://schemas.openxmlformats.org/officeDocument/2006/relationships/hyperlink" Target="https://www.instagram.com/vivendiinvestmentgroup?igsh=MXM2bHNqcW43dHltcQ==" TargetMode="External"/><Relationship Id="rId7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hyperlink" Target="https://www.vivendiinvestmentgroup.com/" TargetMode="External"/><Relationship Id="rId6" Type="http://schemas.openxmlformats.org/officeDocument/2006/relationships/hyperlink" Target="https://www.facebook.com/share/16oidcv44H/?mibextid=LQQJ4d" TargetMode="External"/><Relationship Id="rId5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ivendiinvestmentgroup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459741</xdr:colOff>
      <xdr:row>0</xdr:row>
      <xdr:rowOff>0</xdr:rowOff>
    </xdr:from>
    <xdr:to>
      <xdr:col>2</xdr:col>
      <xdr:colOff>289561</xdr:colOff>
      <xdr:row>5</xdr:row>
      <xdr:rowOff>4761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181836-BAB0-7669-EAF9-31FEDCF4D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9741" y="0"/>
          <a:ext cx="2606887" cy="1054628"/>
        </a:xfrm>
        <a:prstGeom prst="rect">
          <a:avLst/>
        </a:prstGeom>
      </xdr:spPr>
    </xdr:pic>
    <xdr:clientData/>
  </xdr:twoCellAnchor>
  <xdr:twoCellAnchor editAs="absolute">
    <xdr:from>
      <xdr:col>6</xdr:col>
      <xdr:colOff>702734</xdr:colOff>
      <xdr:row>10</xdr:row>
      <xdr:rowOff>42335</xdr:rowOff>
    </xdr:from>
    <xdr:to>
      <xdr:col>6</xdr:col>
      <xdr:colOff>1261534</xdr:colOff>
      <xdr:row>10</xdr:row>
      <xdr:rowOff>601135</xdr:rowOff>
    </xdr:to>
    <xdr:pic>
      <xdr:nvPicPr>
        <xdr:cNvPr id="4" name="Imagen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3F3E248-8F07-BDB0-0C57-DC93A7182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8801" y="1947335"/>
          <a:ext cx="558800" cy="558800"/>
        </a:xfrm>
        <a:prstGeom prst="rect">
          <a:avLst/>
        </a:prstGeom>
      </xdr:spPr>
    </xdr:pic>
    <xdr:clientData/>
  </xdr:twoCellAnchor>
  <xdr:twoCellAnchor editAs="absolute">
    <xdr:from>
      <xdr:col>7</xdr:col>
      <xdr:colOff>6069</xdr:colOff>
      <xdr:row>10</xdr:row>
      <xdr:rowOff>67734</xdr:rowOff>
    </xdr:from>
    <xdr:to>
      <xdr:col>7</xdr:col>
      <xdr:colOff>539469</xdr:colOff>
      <xdr:row>10</xdr:row>
      <xdr:rowOff>601134</xdr:rowOff>
    </xdr:to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0158D37-7018-3C8B-6E56-F2288B028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9869" y="1972734"/>
          <a:ext cx="533400" cy="533400"/>
        </a:xfrm>
        <a:prstGeom prst="rect">
          <a:avLst/>
        </a:prstGeom>
      </xdr:spPr>
    </xdr:pic>
    <xdr:clientData/>
  </xdr:twoCellAnchor>
  <xdr:twoCellAnchor editAs="absolute">
    <xdr:from>
      <xdr:col>7</xdr:col>
      <xdr:colOff>651932</xdr:colOff>
      <xdr:row>10</xdr:row>
      <xdr:rowOff>96801</xdr:rowOff>
    </xdr:from>
    <xdr:to>
      <xdr:col>7</xdr:col>
      <xdr:colOff>1126067</xdr:colOff>
      <xdr:row>10</xdr:row>
      <xdr:rowOff>570936</xdr:rowOff>
    </xdr:to>
    <xdr:pic>
      <xdr:nvPicPr>
        <xdr:cNvPr id="8" name="Imagen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5E2FB97-5970-70D5-9080-4B2D538C2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5732" y="2001801"/>
          <a:ext cx="474135" cy="474135"/>
        </a:xfrm>
        <a:prstGeom prst="rect">
          <a:avLst/>
        </a:prstGeom>
      </xdr:spPr>
    </xdr:pic>
    <xdr:clientData/>
  </xdr:twoCellAnchor>
  <xdr:twoCellAnchor editAs="absolute">
    <xdr:from>
      <xdr:col>7</xdr:col>
      <xdr:colOff>1212001</xdr:colOff>
      <xdr:row>10</xdr:row>
      <xdr:rowOff>84666</xdr:rowOff>
    </xdr:from>
    <xdr:to>
      <xdr:col>7</xdr:col>
      <xdr:colOff>1694601</xdr:colOff>
      <xdr:row>10</xdr:row>
      <xdr:rowOff>567266</xdr:rowOff>
    </xdr:to>
    <xdr:pic>
      <xdr:nvPicPr>
        <xdr:cNvPr id="10" name="Imagen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C7F8EC01-562E-176B-0CD2-71B749F35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5801" y="1989666"/>
          <a:ext cx="482600" cy="482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304800</xdr:colOff>
      <xdr:row>0</xdr:row>
      <xdr:rowOff>0</xdr:rowOff>
    </xdr:from>
    <xdr:to>
      <xdr:col>1</xdr:col>
      <xdr:colOff>732367</xdr:colOff>
      <xdr:row>5</xdr:row>
      <xdr:rowOff>25928</xdr:rowOff>
    </xdr:to>
    <xdr:pic>
      <xdr:nvPicPr>
        <xdr:cNvPr id="2" name="Imagen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EF6F785-C4D0-49EE-8703-B7BA7831E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0"/>
          <a:ext cx="2606887" cy="10546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CAEB7-B739-4739-9EFB-DC4A275D01A5}">
  <dimension ref="A1:N68"/>
  <sheetViews>
    <sheetView tabSelected="1" zoomScale="90" zoomScaleNormal="90" workbookViewId="0">
      <selection activeCell="G28" sqref="G28"/>
    </sheetView>
  </sheetViews>
  <sheetFormatPr baseColWidth="10" defaultRowHeight="14.4" x14ac:dyDescent="0.3"/>
  <cols>
    <col min="1" max="1" width="7.6640625" style="1" customWidth="1"/>
    <col min="2" max="2" width="32.88671875" style="1" customWidth="1"/>
    <col min="3" max="3" width="26.88671875" style="1" customWidth="1"/>
    <col min="4" max="4" width="22" style="1" customWidth="1"/>
    <col min="5" max="5" width="18.77734375" style="1" bestFit="1" customWidth="1"/>
    <col min="6" max="6" width="19.33203125" style="1" customWidth="1"/>
    <col min="7" max="7" width="19.44140625" style="1" bestFit="1" customWidth="1"/>
    <col min="8" max="8" width="26.109375" style="1" customWidth="1"/>
    <col min="9" max="9" width="16.88671875" style="1" bestFit="1" customWidth="1"/>
    <col min="10" max="10" width="16.21875" style="1" customWidth="1"/>
    <col min="11" max="11" width="20.33203125" style="1" customWidth="1"/>
    <col min="12" max="12" width="19.109375" style="1" bestFit="1" customWidth="1"/>
    <col min="13" max="16384" width="11.5546875" style="1"/>
  </cols>
  <sheetData>
    <row r="1" spans="1:14" x14ac:dyDescent="0.3">
      <c r="A1" s="100"/>
      <c r="B1" s="101"/>
      <c r="C1" s="102"/>
      <c r="D1"/>
      <c r="E1"/>
      <c r="F1"/>
      <c r="G1"/>
      <c r="H1"/>
      <c r="I1"/>
      <c r="J1"/>
    </row>
    <row r="2" spans="1:14" x14ac:dyDescent="0.3">
      <c r="A2" s="103"/>
      <c r="B2" s="104"/>
      <c r="C2" s="105"/>
      <c r="D2"/>
      <c r="E2"/>
      <c r="F2"/>
      <c r="G2"/>
      <c r="H2"/>
      <c r="I2"/>
      <c r="J2"/>
    </row>
    <row r="3" spans="1:14" ht="23.4" x14ac:dyDescent="0.45">
      <c r="A3" s="103"/>
      <c r="B3" s="104"/>
      <c r="C3" s="105"/>
      <c r="D3" s="109" t="s">
        <v>64</v>
      </c>
      <c r="E3" s="110"/>
      <c r="F3" s="110"/>
      <c r="G3" s="110"/>
      <c r="H3" s="110"/>
      <c r="I3" s="110"/>
      <c r="J3" s="110"/>
      <c r="K3" s="2"/>
      <c r="L3" s="2"/>
    </row>
    <row r="4" spans="1:14" ht="15" thickBot="1" x14ac:dyDescent="0.35">
      <c r="A4" s="103"/>
      <c r="B4" s="104"/>
      <c r="C4" s="105"/>
      <c r="D4"/>
      <c r="E4"/>
      <c r="F4"/>
      <c r="G4"/>
      <c r="H4"/>
      <c r="I4"/>
      <c r="J4"/>
    </row>
    <row r="5" spans="1:14" ht="14.4" customHeight="1" thickBot="1" x14ac:dyDescent="0.35">
      <c r="A5" s="106"/>
      <c r="B5" s="107"/>
      <c r="C5" s="108"/>
      <c r="D5" s="5"/>
      <c r="E5" s="6" t="s">
        <v>16</v>
      </c>
      <c r="F5" s="98" t="s">
        <v>17</v>
      </c>
      <c r="G5" s="98"/>
      <c r="H5" s="99"/>
      <c r="I5" s="7"/>
      <c r="J5" s="8"/>
      <c r="K5" s="3"/>
      <c r="L5" s="3"/>
      <c r="M5" s="3"/>
    </row>
    <row r="6" spans="1:14" ht="14.4" customHeight="1" x14ac:dyDescent="0.3">
      <c r="C6" s="5"/>
      <c r="D6" s="5"/>
      <c r="E6" s="5"/>
      <c r="F6" s="9"/>
      <c r="G6" s="10"/>
      <c r="H6" s="10"/>
      <c r="I6" s="10"/>
      <c r="J6" s="11"/>
      <c r="K6" s="8"/>
      <c r="L6" s="8"/>
      <c r="M6" s="3"/>
      <c r="N6" s="3"/>
    </row>
    <row r="7" spans="1:14" ht="14.4" customHeight="1" thickBot="1" x14ac:dyDescent="0.35">
      <c r="C7" s="45"/>
      <c r="D7" s="45"/>
      <c r="E7" s="111" t="s">
        <v>50</v>
      </c>
      <c r="F7" s="111"/>
      <c r="G7" s="111"/>
      <c r="H7" s="111"/>
      <c r="I7" s="111"/>
      <c r="J7" s="8"/>
      <c r="K7" s="3"/>
      <c r="L7" s="3"/>
    </row>
    <row r="8" spans="1:14" ht="15.6" x14ac:dyDescent="0.3">
      <c r="B8" s="120" t="s">
        <v>15</v>
      </c>
      <c r="C8" s="121"/>
      <c r="E8" s="111"/>
      <c r="F8" s="111"/>
      <c r="G8" s="111"/>
      <c r="H8" s="111"/>
      <c r="I8" s="111"/>
      <c r="J8"/>
    </row>
    <row r="9" spans="1:14" ht="15.6" x14ac:dyDescent="0.3">
      <c r="B9" s="118" t="s">
        <v>58</v>
      </c>
      <c r="C9" s="119"/>
      <c r="E9" s="111"/>
      <c r="F9" s="111"/>
      <c r="G9" s="111"/>
      <c r="H9" s="111"/>
      <c r="I9" s="111"/>
      <c r="J9"/>
    </row>
    <row r="10" spans="1:14" ht="7.2" customHeight="1" thickBot="1" x14ac:dyDescent="0.35">
      <c r="B10" s="67"/>
      <c r="C10" s="68"/>
      <c r="E10" s="21"/>
      <c r="F10" s="21"/>
      <c r="G10" s="21"/>
      <c r="H10" s="21"/>
      <c r="I10" s="21"/>
      <c r="J10" s="21"/>
      <c r="K10" s="21"/>
    </row>
    <row r="11" spans="1:14" ht="50.4" customHeight="1" thickBot="1" x14ac:dyDescent="0.35">
      <c r="B11" s="12" t="s">
        <v>51</v>
      </c>
      <c r="C11" s="4">
        <v>150000</v>
      </c>
      <c r="E11" s="122" t="s">
        <v>65</v>
      </c>
      <c r="F11" s="84"/>
      <c r="G11" s="84"/>
      <c r="H11" s="84"/>
      <c r="I11" s="85"/>
      <c r="J11" s="21"/>
      <c r="K11" s="21"/>
    </row>
    <row r="12" spans="1:14" ht="50.4" customHeight="1" thickBot="1" x14ac:dyDescent="0.35">
      <c r="B12" s="12" t="s">
        <v>52</v>
      </c>
      <c r="C12" s="72">
        <v>5</v>
      </c>
      <c r="D12" s="73" t="str">
        <f>+IF(C12&lt;1,"Ingrese año redondo", " ")</f>
        <v xml:space="preserve"> </v>
      </c>
      <c r="E12" s="71"/>
      <c r="F12" s="71"/>
      <c r="G12" s="71"/>
      <c r="H12" s="71"/>
      <c r="I12" s="71"/>
      <c r="J12" s="21"/>
      <c r="K12" s="21"/>
    </row>
    <row r="14" spans="1:14" ht="15" thickBot="1" x14ac:dyDescent="0.35"/>
    <row r="15" spans="1:14" ht="17.399999999999999" x14ac:dyDescent="0.35">
      <c r="B15" s="88" t="s">
        <v>35</v>
      </c>
      <c r="C15" s="89"/>
      <c r="D15" s="89"/>
      <c r="E15" s="89"/>
      <c r="F15" s="89"/>
      <c r="G15" s="89"/>
      <c r="H15" s="89"/>
      <c r="I15" s="89"/>
      <c r="J15" s="89"/>
      <c r="K15" s="89"/>
      <c r="L15" s="90"/>
    </row>
    <row r="16" spans="1:14" ht="17.399999999999999" x14ac:dyDescent="0.35">
      <c r="B16" s="91" t="s">
        <v>8</v>
      </c>
      <c r="C16" s="92"/>
      <c r="D16" s="97" t="s">
        <v>49</v>
      </c>
      <c r="E16" s="97"/>
      <c r="F16" s="97"/>
      <c r="G16" s="50" t="s">
        <v>46</v>
      </c>
      <c r="H16" s="51"/>
      <c r="I16" s="51"/>
      <c r="J16" s="51"/>
      <c r="K16" s="51"/>
      <c r="L16" s="52"/>
    </row>
    <row r="17" spans="2:12" ht="17.399999999999999" x14ac:dyDescent="0.35">
      <c r="B17" s="48" t="s">
        <v>19</v>
      </c>
      <c r="C17" s="49" t="s">
        <v>36</v>
      </c>
      <c r="D17" s="93"/>
      <c r="E17" s="93"/>
      <c r="F17" s="93"/>
      <c r="G17" s="93"/>
      <c r="H17" s="93"/>
      <c r="I17" s="93"/>
      <c r="J17" s="93"/>
      <c r="K17" s="93"/>
      <c r="L17" s="94"/>
    </row>
    <row r="18" spans="2:12" ht="17.399999999999999" x14ac:dyDescent="0.35">
      <c r="B18" s="48" t="s">
        <v>38</v>
      </c>
      <c r="C18" s="53" t="s">
        <v>85</v>
      </c>
      <c r="D18" s="16" t="s">
        <v>39</v>
      </c>
      <c r="E18" s="16"/>
      <c r="F18" s="16"/>
      <c r="G18" s="16"/>
      <c r="H18" s="16"/>
      <c r="I18" s="16"/>
      <c r="J18" s="16"/>
      <c r="K18" s="16"/>
      <c r="L18" s="17"/>
    </row>
    <row r="19" spans="2:12" ht="17.399999999999999" x14ac:dyDescent="0.35">
      <c r="B19" s="48" t="s">
        <v>37</v>
      </c>
      <c r="C19" s="54" t="str">
        <f>+IF(C18="USA", "N/A",3.5%)</f>
        <v>N/A</v>
      </c>
      <c r="D19" s="95" t="s">
        <v>43</v>
      </c>
      <c r="E19" s="95"/>
      <c r="F19" s="95"/>
      <c r="G19" s="95"/>
      <c r="H19" s="95"/>
      <c r="I19" s="95"/>
      <c r="J19" s="95"/>
      <c r="K19" s="95"/>
      <c r="L19" s="96"/>
    </row>
    <row r="20" spans="2:12" ht="17.399999999999999" x14ac:dyDescent="0.35">
      <c r="B20" s="48" t="s">
        <v>25</v>
      </c>
      <c r="C20" s="55">
        <f>+IF(C11&lt;5000,"No Aplica",
IF(AND(C11&gt;=5000,C11&lt;20000),65/1000,
IF(AND(C11&gt;=20000,C11&lt;50000),80/1000,
IF(AND(C11&gt;=50000,C11&lt;100000),90/1000+MAX(0,MIN(C12-1,4))*5/1000,
IF(AND(C11&gt;=100000,C11&lt;500000),100/1000+MAX(0,MIN(C12-1,4))*5/1000,
IF(AND(C11&gt;=500000,C11&lt;1000000),110/1000+MAX(0,MIN(C12-1,4))*5/1000,
120/1000+MAX(0,MIN(C12-1,4))*5/1000
)
)
)
)
)
)</f>
        <v>0.12000000000000001</v>
      </c>
      <c r="D20" s="95" t="s">
        <v>53</v>
      </c>
      <c r="E20" s="95"/>
      <c r="F20" s="95"/>
      <c r="G20" s="95"/>
      <c r="H20" s="95"/>
      <c r="I20" s="95"/>
      <c r="J20" s="95"/>
      <c r="K20" s="95"/>
      <c r="L20" s="96"/>
    </row>
    <row r="21" spans="2:12" ht="17.399999999999999" x14ac:dyDescent="0.35">
      <c r="B21" s="48" t="s">
        <v>22</v>
      </c>
      <c r="C21" s="82">
        <f>+C12</f>
        <v>5</v>
      </c>
      <c r="D21" s="95"/>
      <c r="E21" s="95"/>
      <c r="F21" s="95"/>
      <c r="G21" s="95"/>
      <c r="H21" s="95"/>
      <c r="I21" s="95"/>
      <c r="J21" s="95"/>
      <c r="K21" s="95"/>
      <c r="L21" s="96"/>
    </row>
    <row r="22" spans="2:12" ht="17.399999999999999" x14ac:dyDescent="0.35">
      <c r="B22" s="48" t="s">
        <v>9</v>
      </c>
      <c r="C22" s="86" t="s">
        <v>40</v>
      </c>
      <c r="D22" s="86"/>
      <c r="E22" s="86"/>
      <c r="F22" s="86"/>
      <c r="G22" s="86"/>
      <c r="H22" s="86"/>
      <c r="I22" s="86"/>
      <c r="J22" s="86"/>
      <c r="K22" s="86"/>
      <c r="L22" s="87"/>
    </row>
    <row r="23" spans="2:12" ht="18" thickBot="1" x14ac:dyDescent="0.4">
      <c r="B23" s="56"/>
      <c r="C23" s="57"/>
      <c r="D23" s="57"/>
      <c r="E23" s="57"/>
      <c r="F23" s="57"/>
      <c r="G23" s="57"/>
      <c r="H23" s="57"/>
      <c r="I23" s="57"/>
      <c r="J23" s="57"/>
      <c r="K23" s="57"/>
      <c r="L23" s="58"/>
    </row>
    <row r="24" spans="2:12" ht="69.599999999999994" x14ac:dyDescent="0.35">
      <c r="B24" s="59" t="s">
        <v>0</v>
      </c>
      <c r="C24" s="60" t="s">
        <v>37</v>
      </c>
      <c r="D24" s="60" t="s">
        <v>42</v>
      </c>
      <c r="E24" s="60" t="s">
        <v>24</v>
      </c>
      <c r="F24" s="60" t="s">
        <v>41</v>
      </c>
      <c r="G24" s="60" t="s">
        <v>57</v>
      </c>
      <c r="H24" s="60" t="s">
        <v>61</v>
      </c>
      <c r="I24" s="60" t="s">
        <v>3</v>
      </c>
      <c r="J24" s="61" t="s">
        <v>4</v>
      </c>
      <c r="K24" s="62"/>
      <c r="L24" s="62"/>
    </row>
    <row r="25" spans="2:12" ht="18" thickBot="1" x14ac:dyDescent="0.4">
      <c r="B25" s="63">
        <f>+$C$11</f>
        <v>150000</v>
      </c>
      <c r="C25" s="64">
        <f>+IF(C19=3.5%,B25*-C19,0)</f>
        <v>0</v>
      </c>
      <c r="D25" s="64">
        <f>+B25+C25</f>
        <v>150000</v>
      </c>
      <c r="E25" s="70">
        <f>+C20</f>
        <v>0.12000000000000001</v>
      </c>
      <c r="F25" s="64">
        <f>+D25*$E$25</f>
        <v>18000</v>
      </c>
      <c r="G25" s="64">
        <f>+F25*C12</f>
        <v>90000</v>
      </c>
      <c r="H25" s="64">
        <f>+G25+B25</f>
        <v>240000</v>
      </c>
      <c r="I25" s="65">
        <f>+(G25/B25)</f>
        <v>0.6</v>
      </c>
      <c r="J25" s="66">
        <f>+I25/C12</f>
        <v>0.12</v>
      </c>
      <c r="K25" s="62"/>
      <c r="L25" s="62"/>
    </row>
    <row r="29" spans="2:12" ht="15" thickBot="1" x14ac:dyDescent="0.35"/>
    <row r="30" spans="2:12" ht="15.6" x14ac:dyDescent="0.3">
      <c r="B30" s="112" t="s">
        <v>44</v>
      </c>
      <c r="C30" s="113"/>
      <c r="D30" s="113"/>
      <c r="E30" s="113"/>
      <c r="F30" s="113"/>
      <c r="G30" s="113"/>
      <c r="H30" s="113"/>
      <c r="I30" s="113"/>
      <c r="J30" s="113"/>
      <c r="K30" s="113"/>
      <c r="L30" s="114"/>
    </row>
    <row r="31" spans="2:12" ht="15.6" x14ac:dyDescent="0.3">
      <c r="B31" s="115" t="s">
        <v>8</v>
      </c>
      <c r="C31" s="116"/>
      <c r="D31" s="117" t="s">
        <v>49</v>
      </c>
      <c r="E31" s="117"/>
      <c r="F31" s="117"/>
      <c r="G31" s="46" t="s">
        <v>46</v>
      </c>
      <c r="H31" s="9"/>
      <c r="I31" s="9"/>
      <c r="J31" s="9"/>
      <c r="K31" s="9"/>
      <c r="L31" s="14"/>
    </row>
    <row r="32" spans="2:12" ht="15.6" x14ac:dyDescent="0.3">
      <c r="B32" s="13" t="s">
        <v>11</v>
      </c>
      <c r="C32" s="15" t="s">
        <v>2</v>
      </c>
      <c r="D32" s="95" t="s">
        <v>12</v>
      </c>
      <c r="E32" s="95"/>
      <c r="F32" s="95"/>
      <c r="G32" s="95"/>
      <c r="H32" s="95"/>
      <c r="I32" s="95"/>
      <c r="J32" s="95"/>
      <c r="K32" s="95"/>
      <c r="L32" s="96"/>
    </row>
    <row r="33" spans="2:12" ht="15.6" x14ac:dyDescent="0.3">
      <c r="B33" s="13" t="s">
        <v>5</v>
      </c>
      <c r="C33" s="18">
        <f>+IF(C32="Si",150/1000,"No Aplica")</f>
        <v>0.15</v>
      </c>
      <c r="D33" s="95" t="s">
        <v>6</v>
      </c>
      <c r="E33" s="95"/>
      <c r="F33" s="95"/>
      <c r="G33" s="95"/>
      <c r="H33" s="95"/>
      <c r="I33" s="95"/>
      <c r="J33" s="95"/>
      <c r="K33" s="95"/>
      <c r="L33" s="96"/>
    </row>
    <row r="34" spans="2:12" ht="15.6" x14ac:dyDescent="0.3">
      <c r="B34" s="13" t="s">
        <v>48</v>
      </c>
      <c r="C34" s="69">
        <f>+IF(C11&lt;15000,"Fondos Insuficientes",
IF(C11&lt;30000,200,
IF(C11&lt;45000,250,
IF(C11&lt;80000,300,
IF(C11&lt;130000,350,
IF(C11&lt;180000,400,
IF(C11&lt;210000,450,
IF(C11&lt;250000,500,
"700"))))))))</f>
        <v>400</v>
      </c>
      <c r="D34" s="95" t="s">
        <v>13</v>
      </c>
      <c r="E34" s="95"/>
      <c r="F34" s="95"/>
      <c r="G34" s="95"/>
      <c r="H34" s="95"/>
      <c r="I34" s="95"/>
      <c r="J34" s="95"/>
      <c r="K34" s="95"/>
      <c r="L34" s="96"/>
    </row>
    <row r="35" spans="2:12" ht="15.6" x14ac:dyDescent="0.3">
      <c r="B35" s="13" t="s">
        <v>7</v>
      </c>
      <c r="C35" s="19">
        <v>1.4999999999999999E-2</v>
      </c>
      <c r="D35" s="95" t="s">
        <v>60</v>
      </c>
      <c r="E35" s="95"/>
      <c r="F35" s="95"/>
      <c r="G35" s="95"/>
      <c r="H35" s="95"/>
      <c r="I35" s="95"/>
      <c r="J35" s="95"/>
      <c r="K35" s="95"/>
      <c r="L35" s="96"/>
    </row>
    <row r="36" spans="2:12" ht="15.6" x14ac:dyDescent="0.3">
      <c r="B36" s="13" t="s">
        <v>9</v>
      </c>
      <c r="C36" s="95" t="s">
        <v>10</v>
      </c>
      <c r="D36" s="95"/>
      <c r="E36" s="95"/>
      <c r="F36" s="95"/>
      <c r="G36" s="95"/>
      <c r="H36" s="95"/>
      <c r="I36" s="95"/>
      <c r="J36" s="95"/>
      <c r="K36" s="95"/>
      <c r="L36" s="96"/>
    </row>
    <row r="37" spans="2:12" ht="15.6" x14ac:dyDescent="0.3">
      <c r="B37" s="20"/>
      <c r="C37" s="21"/>
      <c r="D37" s="21"/>
      <c r="E37" s="21"/>
      <c r="F37" s="21"/>
      <c r="G37" s="21"/>
      <c r="H37" s="21"/>
      <c r="I37" s="21"/>
      <c r="J37" s="21"/>
      <c r="K37" s="21"/>
      <c r="L37" s="22"/>
    </row>
    <row r="38" spans="2:12" ht="62.4" x14ac:dyDescent="0.3">
      <c r="B38" s="23" t="s">
        <v>0</v>
      </c>
      <c r="C38" s="24" t="s">
        <v>1</v>
      </c>
      <c r="D38" s="25" t="s">
        <v>54</v>
      </c>
      <c r="E38" s="25" t="s">
        <v>55</v>
      </c>
      <c r="F38" s="25" t="s">
        <v>59</v>
      </c>
      <c r="G38" s="25" t="s">
        <v>14</v>
      </c>
      <c r="H38" s="25" t="s">
        <v>56</v>
      </c>
      <c r="I38" s="25" t="s">
        <v>57</v>
      </c>
      <c r="J38" s="25" t="s">
        <v>61</v>
      </c>
      <c r="K38" s="25" t="s">
        <v>3</v>
      </c>
      <c r="L38" s="26" t="s">
        <v>4</v>
      </c>
    </row>
    <row r="39" spans="2:12" s="80" customFormat="1" ht="16.2" thickBot="1" x14ac:dyDescent="0.35">
      <c r="B39" s="75">
        <f>+$C$11</f>
        <v>150000</v>
      </c>
      <c r="C39" s="76" t="str">
        <f>+C32</f>
        <v>Si</v>
      </c>
      <c r="D39" s="74">
        <f>+IF($C$32="Si",(B39*$C$33),"0")</f>
        <v>22500</v>
      </c>
      <c r="E39" s="83">
        <f>+C34</f>
        <v>400</v>
      </c>
      <c r="F39" s="74">
        <f>+IF(C12&gt;2,E39*12*(C12-2),0)</f>
        <v>14400</v>
      </c>
      <c r="G39" s="74">
        <f>+(B39+D39)*C35</f>
        <v>2587.5</v>
      </c>
      <c r="H39" s="74">
        <f>+IF(C12&gt;2,B39+D39+(G39*(C12-2)),B39+D39)</f>
        <v>180262.5</v>
      </c>
      <c r="I39" s="77">
        <f>+H39+F39-B39</f>
        <v>44662.5</v>
      </c>
      <c r="J39" s="77">
        <f>+I39+B39</f>
        <v>194662.5</v>
      </c>
      <c r="K39" s="78">
        <f>+I39/B39</f>
        <v>0.29775000000000001</v>
      </c>
      <c r="L39" s="79">
        <f>+K39/C12</f>
        <v>5.9550000000000006E-2</v>
      </c>
    </row>
    <row r="40" spans="2:12" ht="15.6" x14ac:dyDescent="0.3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</row>
    <row r="41" spans="2:12" ht="15.6" x14ac:dyDescent="0.3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</row>
    <row r="42" spans="2:12" ht="15.6" x14ac:dyDescent="0.3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</row>
    <row r="43" spans="2:12" ht="16.2" thickBot="1" x14ac:dyDescent="0.35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</row>
    <row r="44" spans="2:12" ht="15.6" x14ac:dyDescent="0.3">
      <c r="B44" s="112" t="s">
        <v>18</v>
      </c>
      <c r="C44" s="113"/>
      <c r="D44" s="113"/>
      <c r="E44" s="113"/>
      <c r="F44" s="113"/>
      <c r="G44" s="113"/>
      <c r="H44" s="113"/>
      <c r="I44" s="113"/>
      <c r="J44" s="113"/>
      <c r="K44" s="113"/>
      <c r="L44" s="114"/>
    </row>
    <row r="45" spans="2:12" ht="15.6" x14ac:dyDescent="0.3">
      <c r="B45" s="115" t="s">
        <v>8</v>
      </c>
      <c r="C45" s="116"/>
      <c r="D45" s="117" t="s">
        <v>49</v>
      </c>
      <c r="E45" s="117"/>
      <c r="F45" s="117"/>
      <c r="G45" s="31" t="s">
        <v>47</v>
      </c>
      <c r="H45" s="9"/>
      <c r="I45" s="9"/>
      <c r="J45" s="9"/>
      <c r="K45" s="9"/>
      <c r="L45" s="14"/>
    </row>
    <row r="46" spans="2:12" ht="15.6" x14ac:dyDescent="0.3">
      <c r="B46" s="13" t="s">
        <v>19</v>
      </c>
      <c r="C46" s="47" t="s">
        <v>20</v>
      </c>
      <c r="D46" s="125" t="s">
        <v>26</v>
      </c>
      <c r="E46" s="125"/>
      <c r="F46" s="125"/>
      <c r="G46" s="125"/>
      <c r="H46" s="125"/>
      <c r="I46" s="125"/>
      <c r="J46" s="125"/>
      <c r="K46" s="125"/>
      <c r="L46" s="126"/>
    </row>
    <row r="47" spans="2:12" ht="15.6" x14ac:dyDescent="0.3">
      <c r="B47" s="13" t="s">
        <v>21</v>
      </c>
      <c r="C47" s="32">
        <v>14.5</v>
      </c>
      <c r="D47" s="127" t="s">
        <v>27</v>
      </c>
      <c r="E47" s="127"/>
      <c r="F47" s="127"/>
      <c r="G47" s="127"/>
      <c r="H47" s="127"/>
      <c r="I47" s="127"/>
      <c r="J47" s="127"/>
      <c r="K47" s="127"/>
      <c r="L47" s="128"/>
    </row>
    <row r="48" spans="2:12" ht="15.6" x14ac:dyDescent="0.3">
      <c r="B48" s="13" t="s">
        <v>25</v>
      </c>
      <c r="C48" s="33">
        <v>3.5000000000000003E-2</v>
      </c>
      <c r="D48" s="95" t="s">
        <v>28</v>
      </c>
      <c r="E48" s="95"/>
      <c r="F48" s="95"/>
      <c r="G48" s="95"/>
      <c r="H48" s="95"/>
      <c r="I48" s="95"/>
      <c r="J48" s="95"/>
      <c r="K48" s="95"/>
      <c r="L48" s="96"/>
    </row>
    <row r="49" spans="2:12" ht="15.6" x14ac:dyDescent="0.3">
      <c r="B49" s="13" t="s">
        <v>22</v>
      </c>
      <c r="C49" s="81">
        <f>+C12</f>
        <v>5</v>
      </c>
      <c r="D49" s="95" t="s">
        <v>29</v>
      </c>
      <c r="E49" s="95"/>
      <c r="F49" s="95"/>
      <c r="G49" s="95"/>
      <c r="H49" s="95"/>
      <c r="I49" s="95"/>
      <c r="J49" s="95"/>
      <c r="K49" s="95"/>
      <c r="L49" s="96"/>
    </row>
    <row r="50" spans="2:12" ht="15.6" x14ac:dyDescent="0.3">
      <c r="B50" s="13" t="s">
        <v>9</v>
      </c>
      <c r="C50" s="95" t="s">
        <v>62</v>
      </c>
      <c r="D50" s="95"/>
      <c r="E50" s="95"/>
      <c r="F50" s="95"/>
      <c r="G50" s="95"/>
      <c r="H50" s="95"/>
      <c r="I50" s="95"/>
      <c r="J50" s="95"/>
      <c r="K50" s="95"/>
      <c r="L50" s="96"/>
    </row>
    <row r="51" spans="2:12" ht="16.2" thickBot="1" x14ac:dyDescent="0.35">
      <c r="B51" s="34"/>
      <c r="C51" s="35"/>
      <c r="D51" s="35"/>
      <c r="E51" s="35"/>
      <c r="F51" s="35"/>
      <c r="G51" s="35"/>
      <c r="H51" s="35"/>
      <c r="I51" s="35"/>
      <c r="J51" s="35"/>
      <c r="K51" s="35"/>
      <c r="L51" s="36"/>
    </row>
    <row r="52" spans="2:12" ht="46.8" x14ac:dyDescent="0.3">
      <c r="B52" s="37" t="s">
        <v>23</v>
      </c>
      <c r="C52" s="38" t="s">
        <v>24</v>
      </c>
      <c r="D52" s="38" t="s">
        <v>78</v>
      </c>
      <c r="E52" s="38" t="s">
        <v>79</v>
      </c>
      <c r="F52" s="25" t="s">
        <v>82</v>
      </c>
      <c r="G52" s="38" t="s">
        <v>83</v>
      </c>
      <c r="H52" s="38" t="s">
        <v>84</v>
      </c>
      <c r="I52" s="38" t="s">
        <v>3</v>
      </c>
      <c r="J52" s="39" t="s">
        <v>4</v>
      </c>
      <c r="K52" s="30"/>
      <c r="L52" s="30"/>
    </row>
    <row r="53" spans="2:12" ht="16.2" thickBot="1" x14ac:dyDescent="0.35">
      <c r="B53" s="40">
        <f>+$C$11*$C$47</f>
        <v>2175000</v>
      </c>
      <c r="C53" s="41">
        <f>+C48</f>
        <v>3.5000000000000003E-2</v>
      </c>
      <c r="D53" s="42">
        <f>+B53*C53</f>
        <v>76125</v>
      </c>
      <c r="E53" s="43">
        <f>+D53*C12</f>
        <v>380625</v>
      </c>
      <c r="F53" s="43">
        <f>+E53+B53</f>
        <v>2555625</v>
      </c>
      <c r="G53" s="27">
        <f>+D53/C47</f>
        <v>5250</v>
      </c>
      <c r="H53" s="27">
        <f>+E53/C47</f>
        <v>26250</v>
      </c>
      <c r="I53" s="28">
        <f>+(E53/B53)</f>
        <v>0.17499999999999999</v>
      </c>
      <c r="J53" s="29">
        <f>+I53/5</f>
        <v>3.4999999999999996E-2</v>
      </c>
      <c r="K53" s="30"/>
      <c r="L53" s="30"/>
    </row>
    <row r="54" spans="2:12" ht="15.6" x14ac:dyDescent="0.3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</row>
    <row r="55" spans="2:12" ht="15.6" x14ac:dyDescent="0.3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</row>
    <row r="56" spans="2:12" ht="15.6" x14ac:dyDescent="0.3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</row>
    <row r="57" spans="2:12" ht="16.2" thickBot="1" x14ac:dyDescent="0.35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</row>
    <row r="58" spans="2:12" ht="15.6" x14ac:dyDescent="0.3">
      <c r="B58" s="112" t="s">
        <v>30</v>
      </c>
      <c r="C58" s="113"/>
      <c r="D58" s="113"/>
      <c r="E58" s="113"/>
      <c r="F58" s="113"/>
      <c r="G58" s="113"/>
      <c r="H58" s="113"/>
      <c r="I58" s="113"/>
      <c r="J58" s="113"/>
      <c r="K58" s="113"/>
      <c r="L58" s="114"/>
    </row>
    <row r="59" spans="2:12" ht="15.6" x14ac:dyDescent="0.3">
      <c r="B59" s="115" t="s">
        <v>8</v>
      </c>
      <c r="C59" s="116"/>
      <c r="D59" s="117" t="s">
        <v>49</v>
      </c>
      <c r="E59" s="117"/>
      <c r="F59" s="117"/>
      <c r="G59" s="31" t="s">
        <v>47</v>
      </c>
      <c r="H59" s="9"/>
      <c r="I59" s="9"/>
      <c r="J59" s="9"/>
      <c r="K59" s="9"/>
      <c r="L59" s="14"/>
    </row>
    <row r="60" spans="2:12" ht="15.6" x14ac:dyDescent="0.3">
      <c r="B60" s="13" t="s">
        <v>19</v>
      </c>
      <c r="C60" s="47" t="s">
        <v>20</v>
      </c>
      <c r="D60" s="125" t="s">
        <v>31</v>
      </c>
      <c r="E60" s="125"/>
      <c r="F60" s="125"/>
      <c r="G60" s="125"/>
      <c r="H60" s="125"/>
      <c r="I60" s="125"/>
      <c r="J60" s="125"/>
      <c r="K60" s="125"/>
      <c r="L60" s="126"/>
    </row>
    <row r="61" spans="2:12" ht="15.6" x14ac:dyDescent="0.3">
      <c r="B61" s="13" t="s">
        <v>21</v>
      </c>
      <c r="C61" s="32">
        <v>14.5</v>
      </c>
      <c r="D61" s="127" t="s">
        <v>27</v>
      </c>
      <c r="E61" s="127"/>
      <c r="F61" s="127"/>
      <c r="G61" s="127"/>
      <c r="H61" s="127"/>
      <c r="I61" s="127"/>
      <c r="J61" s="127"/>
      <c r="K61" s="127"/>
      <c r="L61" s="128"/>
    </row>
    <row r="62" spans="2:12" ht="15.6" x14ac:dyDescent="0.3">
      <c r="B62" s="13" t="s">
        <v>25</v>
      </c>
      <c r="C62" s="33">
        <v>0.08</v>
      </c>
      <c r="D62" s="95" t="s">
        <v>33</v>
      </c>
      <c r="E62" s="95"/>
      <c r="F62" s="95"/>
      <c r="G62" s="95"/>
      <c r="H62" s="95"/>
      <c r="I62" s="95"/>
      <c r="J62" s="95"/>
      <c r="K62" s="95"/>
      <c r="L62" s="96"/>
    </row>
    <row r="63" spans="2:12" ht="15.6" x14ac:dyDescent="0.3">
      <c r="B63" s="13" t="s">
        <v>22</v>
      </c>
      <c r="C63" s="81">
        <f>+C12</f>
        <v>5</v>
      </c>
      <c r="D63" s="95" t="s">
        <v>34</v>
      </c>
      <c r="E63" s="95"/>
      <c r="F63" s="95"/>
      <c r="G63" s="95"/>
      <c r="H63" s="95"/>
      <c r="I63" s="95"/>
      <c r="J63" s="95"/>
      <c r="K63" s="95"/>
      <c r="L63" s="96"/>
    </row>
    <row r="64" spans="2:12" ht="15.6" x14ac:dyDescent="0.3">
      <c r="B64" s="13" t="s">
        <v>32</v>
      </c>
      <c r="C64" s="44">
        <v>0.01</v>
      </c>
      <c r="D64" s="95" t="s">
        <v>63</v>
      </c>
      <c r="E64" s="95"/>
      <c r="F64" s="95"/>
      <c r="G64" s="95"/>
      <c r="H64" s="95"/>
      <c r="I64" s="95"/>
      <c r="J64" s="95"/>
      <c r="K64" s="95"/>
      <c r="L64" s="96"/>
    </row>
    <row r="65" spans="2:12" ht="15.6" x14ac:dyDescent="0.3">
      <c r="B65" s="13" t="s">
        <v>9</v>
      </c>
      <c r="C65" s="123" t="s">
        <v>45</v>
      </c>
      <c r="D65" s="123"/>
      <c r="E65" s="123"/>
      <c r="F65" s="123"/>
      <c r="G65" s="123"/>
      <c r="H65" s="123"/>
      <c r="I65" s="123"/>
      <c r="J65" s="123"/>
      <c r="K65" s="123"/>
      <c r="L65" s="124"/>
    </row>
    <row r="66" spans="2:12" ht="16.2" thickBot="1" x14ac:dyDescent="0.35">
      <c r="B66" s="34"/>
      <c r="C66" s="35"/>
      <c r="D66" s="35"/>
      <c r="E66" s="35"/>
      <c r="F66" s="35"/>
      <c r="G66" s="35"/>
      <c r="H66" s="35"/>
      <c r="I66" s="35"/>
      <c r="J66" s="35"/>
      <c r="K66" s="35"/>
      <c r="L66" s="36"/>
    </row>
    <row r="67" spans="2:12" ht="62.4" x14ac:dyDescent="0.3">
      <c r="B67" s="37" t="s">
        <v>23</v>
      </c>
      <c r="C67" s="38" t="s">
        <v>24</v>
      </c>
      <c r="D67" s="38" t="s">
        <v>78</v>
      </c>
      <c r="E67" s="38" t="s">
        <v>79</v>
      </c>
      <c r="F67" s="38" t="s">
        <v>80</v>
      </c>
      <c r="G67" s="25" t="s">
        <v>81</v>
      </c>
      <c r="H67" s="38" t="s">
        <v>84</v>
      </c>
      <c r="I67" s="38" t="s">
        <v>3</v>
      </c>
      <c r="J67" s="39" t="s">
        <v>4</v>
      </c>
    </row>
    <row r="68" spans="2:12" ht="16.2" thickBot="1" x14ac:dyDescent="0.35">
      <c r="B68" s="40">
        <f>+$C$11*$C$47</f>
        <v>2175000</v>
      </c>
      <c r="C68" s="41">
        <f>+C62</f>
        <v>0.08</v>
      </c>
      <c r="D68" s="42">
        <f>+B68*C68</f>
        <v>174000</v>
      </c>
      <c r="E68" s="43">
        <f>+D68*C12</f>
        <v>870000</v>
      </c>
      <c r="F68" s="43">
        <f>+-B68*C64</f>
        <v>-21750</v>
      </c>
      <c r="G68" s="43">
        <f>+B68+E68+F68</f>
        <v>3023250</v>
      </c>
      <c r="H68" s="27">
        <f>+(G68-B68)/C61</f>
        <v>58500</v>
      </c>
      <c r="I68" s="28">
        <f>+(H68/C11)</f>
        <v>0.39</v>
      </c>
      <c r="J68" s="29">
        <f>+I68/C12</f>
        <v>7.8E-2</v>
      </c>
    </row>
  </sheetData>
  <sheetProtection algorithmName="SHA-512" hashValue="TFrhwJq81tI4di4uuW4tc5GjfiIPEwhtZ6NtgnHY/uyIL94vZMimYXhcj8dcyYMcf52CpLgtpCQrFAm4bLBhwg==" saltValue="cgjpM13mn0O3t1RNtkrpMQ==" spinCount="100000" sheet="1" objects="1" scenarios="1"/>
  <mergeCells count="41">
    <mergeCell ref="B44:L44"/>
    <mergeCell ref="B45:C45"/>
    <mergeCell ref="D46:L46"/>
    <mergeCell ref="D47:L47"/>
    <mergeCell ref="D61:L61"/>
    <mergeCell ref="D48:L48"/>
    <mergeCell ref="D45:F45"/>
    <mergeCell ref="D62:L62"/>
    <mergeCell ref="D63:L63"/>
    <mergeCell ref="C65:L65"/>
    <mergeCell ref="D49:L49"/>
    <mergeCell ref="C50:L50"/>
    <mergeCell ref="B58:L58"/>
    <mergeCell ref="B59:C59"/>
    <mergeCell ref="D60:L60"/>
    <mergeCell ref="D64:L64"/>
    <mergeCell ref="D59:F59"/>
    <mergeCell ref="F5:H5"/>
    <mergeCell ref="A1:C5"/>
    <mergeCell ref="D3:J3"/>
    <mergeCell ref="C36:L36"/>
    <mergeCell ref="D35:L35"/>
    <mergeCell ref="D33:L33"/>
    <mergeCell ref="D34:L34"/>
    <mergeCell ref="D32:L32"/>
    <mergeCell ref="E7:I9"/>
    <mergeCell ref="B30:L30"/>
    <mergeCell ref="B31:C31"/>
    <mergeCell ref="D31:F31"/>
    <mergeCell ref="B9:C9"/>
    <mergeCell ref="B8:C8"/>
    <mergeCell ref="E11:G11"/>
    <mergeCell ref="D21:L21"/>
    <mergeCell ref="H11:I11"/>
    <mergeCell ref="C22:L22"/>
    <mergeCell ref="B15:L15"/>
    <mergeCell ref="B16:C16"/>
    <mergeCell ref="D17:L17"/>
    <mergeCell ref="D19:L19"/>
    <mergeCell ref="D20:L20"/>
    <mergeCell ref="D16:F16"/>
  </mergeCells>
  <conditionalFormatting sqref="C20">
    <cfRule type="containsText" dxfId="8" priority="6" operator="containsText" text="No Aplica">
      <formula>NOT(ISERROR(SEARCH("No Aplica",C20)))</formula>
    </cfRule>
    <cfRule type="containsText" dxfId="7" priority="8" operator="containsText" text="Ingresa la cantidad de años">
      <formula>NOT(ISERROR(SEARCH("Ingresa la cantidad de años",C20)))</formula>
    </cfRule>
  </conditionalFormatting>
  <conditionalFormatting sqref="C34">
    <cfRule type="containsText" dxfId="6" priority="2" operator="containsText" text="Fondos Insuficientes">
      <formula>NOT(ISERROR(SEARCH("Fondos Insuficientes",C34)))</formula>
    </cfRule>
    <cfRule type="containsText" dxfId="5" priority="3" operator="containsText" text="Ingrese el monto de alquiler en $us">
      <formula>NOT(ISERROR(SEARCH("Ingrese el monto de alquiler en $us",C34)))</formula>
    </cfRule>
  </conditionalFormatting>
  <conditionalFormatting sqref="E25">
    <cfRule type="containsText" dxfId="4" priority="5" operator="containsText" text="No Aplica">
      <formula>NOT(ISERROR(SEARCH("No Aplica",E25)))</formula>
    </cfRule>
    <cfRule type="containsText" dxfId="3" priority="7" operator="containsText" text="Ingresa la cantidad de años">
      <formula>NOT(ISERROR(SEARCH("Ingresa la cantidad de años",E25)))</formula>
    </cfRule>
  </conditionalFormatting>
  <conditionalFormatting sqref="E39">
    <cfRule type="containsText" dxfId="2" priority="1" operator="containsText" text="Fondos Insuficientes">
      <formula>NOT(ISERROR(SEARCH("Fondos Insuficientes",E39)))</formula>
    </cfRule>
    <cfRule type="containsText" dxfId="1" priority="10" operator="containsText" text="Ingrese el monto de alquiler en $us">
      <formula>NOT(ISERROR(SEARCH("Ingrese el monto de alquiler en $us",E39)))</formula>
    </cfRule>
  </conditionalFormatting>
  <conditionalFormatting sqref="G39">
    <cfRule type="containsText" dxfId="0" priority="4" operator="containsText" text="No hay valorización anual, sigue en construcción">
      <formula>NOT(ISERROR(SEARCH("No hay valorización anual, sigue en construcción",G39)))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232E3-09F1-4939-BF8E-96CDEAEEB5FD}">
  <dimension ref="A1:P85"/>
  <sheetViews>
    <sheetView workbookViewId="0">
      <selection activeCell="B21" sqref="B21"/>
    </sheetView>
  </sheetViews>
  <sheetFormatPr baseColWidth="10" defaultRowHeight="14.4" x14ac:dyDescent="0.3"/>
  <cols>
    <col min="1" max="1" width="31.77734375" customWidth="1"/>
    <col min="2" max="2" width="16.6640625" customWidth="1"/>
    <col min="4" max="4" width="11.77734375" bestFit="1" customWidth="1"/>
    <col min="5" max="5" width="17.44140625" bestFit="1" customWidth="1"/>
    <col min="6" max="6" width="27" bestFit="1" customWidth="1"/>
    <col min="7" max="7" width="18.77734375" customWidth="1"/>
    <col min="8" max="8" width="23" customWidth="1"/>
  </cols>
  <sheetData>
    <row r="1" spans="1:16" s="1" customFormat="1" x14ac:dyDescent="0.3">
      <c r="A1" s="100"/>
      <c r="B1" s="101"/>
      <c r="C1" s="102"/>
      <c r="D1"/>
      <c r="E1"/>
      <c r="F1"/>
      <c r="G1"/>
      <c r="H1"/>
      <c r="I1"/>
      <c r="J1"/>
    </row>
    <row r="2" spans="1:16" s="1" customFormat="1" x14ac:dyDescent="0.3">
      <c r="A2" s="103"/>
      <c r="B2" s="104"/>
      <c r="C2" s="105"/>
      <c r="D2" s="129"/>
      <c r="E2" s="129"/>
      <c r="F2" s="129"/>
      <c r="G2" s="129"/>
      <c r="H2" s="129"/>
      <c r="I2" s="129"/>
      <c r="J2" s="129"/>
    </row>
    <row r="3" spans="1:16" s="1" customFormat="1" ht="23.4" x14ac:dyDescent="0.45">
      <c r="A3" s="103"/>
      <c r="B3" s="104"/>
      <c r="C3" s="105"/>
      <c r="D3" s="130" t="s">
        <v>77</v>
      </c>
      <c r="E3" s="131"/>
      <c r="F3" s="131"/>
      <c r="G3" s="131"/>
      <c r="H3" s="131"/>
      <c r="I3" s="131"/>
      <c r="J3" s="131"/>
      <c r="K3" s="2"/>
      <c r="L3" s="2"/>
    </row>
    <row r="4" spans="1:16" s="1" customFormat="1" x14ac:dyDescent="0.3">
      <c r="A4" s="103"/>
      <c r="B4" s="104"/>
      <c r="C4" s="105"/>
      <c r="D4" s="129"/>
      <c r="E4" s="129"/>
      <c r="F4" s="129"/>
      <c r="G4" s="129"/>
      <c r="H4" s="129"/>
      <c r="I4" s="129"/>
      <c r="J4" s="129"/>
    </row>
    <row r="5" spans="1:16" s="1" customFormat="1" ht="14.4" customHeight="1" thickBot="1" x14ac:dyDescent="0.35">
      <c r="A5" s="106"/>
      <c r="B5" s="107"/>
      <c r="C5" s="108"/>
      <c r="D5" s="132"/>
      <c r="E5" s="133"/>
      <c r="F5" s="3"/>
      <c r="G5" s="3"/>
      <c r="H5" s="3"/>
    </row>
    <row r="6" spans="1:16" s="1" customFormat="1" ht="14.4" customHeight="1" x14ac:dyDescent="0.3">
      <c r="C6" s="5"/>
      <c r="D6" s="132"/>
      <c r="E6" s="132"/>
      <c r="F6" s="134"/>
      <c r="G6" s="135"/>
      <c r="H6" s="135"/>
      <c r="I6" s="135"/>
      <c r="J6" s="136"/>
      <c r="K6" s="8"/>
      <c r="L6" s="8"/>
      <c r="M6" s="3"/>
      <c r="N6" s="3"/>
    </row>
    <row r="7" spans="1:16" s="1" customFormat="1" ht="14.4" customHeight="1" x14ac:dyDescent="0.3">
      <c r="C7" s="45"/>
      <c r="D7" s="137"/>
      <c r="E7" s="138" t="s">
        <v>50</v>
      </c>
      <c r="F7" s="138"/>
      <c r="G7" s="138"/>
      <c r="H7" s="138"/>
      <c r="I7" s="138"/>
      <c r="J7" s="133"/>
      <c r="K7" s="3"/>
      <c r="L7" s="3"/>
    </row>
    <row r="8" spans="1:16" s="1" customFormat="1" ht="27.6" customHeight="1" x14ac:dyDescent="0.3">
      <c r="A8"/>
      <c r="B8"/>
      <c r="C8"/>
      <c r="E8" s="138"/>
      <c r="F8" s="138"/>
      <c r="G8" s="138"/>
      <c r="H8" s="138"/>
      <c r="I8" s="138"/>
      <c r="J8" s="129"/>
    </row>
    <row r="9" spans="1:16" s="1" customFormat="1" ht="26.4" customHeight="1" x14ac:dyDescent="0.3">
      <c r="C9"/>
      <c r="E9" s="138"/>
      <c r="F9" s="138"/>
      <c r="G9" s="138"/>
      <c r="H9" s="138"/>
      <c r="I9" s="138"/>
      <c r="J9" s="129"/>
    </row>
    <row r="10" spans="1:16" s="1" customFormat="1" ht="7.2" customHeight="1" x14ac:dyDescent="0.3">
      <c r="C10"/>
      <c r="E10" s="21"/>
      <c r="F10" s="21"/>
      <c r="G10" s="21"/>
      <c r="H10" s="21"/>
      <c r="I10" s="21"/>
      <c r="J10" s="21"/>
      <c r="K10" s="21"/>
    </row>
    <row r="11" spans="1:16" ht="15.6" x14ac:dyDescent="0.3">
      <c r="A11" s="139" t="s">
        <v>66</v>
      </c>
      <c r="B11" s="140">
        <f>+'Calculadora VIVENDI'!C11</f>
        <v>150000</v>
      </c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29"/>
      <c r="N11" s="129"/>
      <c r="O11" s="129"/>
      <c r="P11" s="129"/>
    </row>
    <row r="12" spans="1:16" ht="15.6" x14ac:dyDescent="0.3">
      <c r="A12" s="139" t="s">
        <v>52</v>
      </c>
      <c r="B12" s="141">
        <f>+'Calculadora VIVENDI'!C12</f>
        <v>5</v>
      </c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</row>
    <row r="13" spans="1:16" ht="15.6" x14ac:dyDescent="0.3">
      <c r="A13" s="142" t="s">
        <v>89</v>
      </c>
      <c r="B13" s="168">
        <v>0</v>
      </c>
      <c r="C13" s="143" t="s">
        <v>90</v>
      </c>
      <c r="D13" s="144"/>
      <c r="E13" s="144"/>
      <c r="F13" s="144"/>
      <c r="G13" s="129"/>
      <c r="H13" s="129"/>
      <c r="I13" s="129"/>
      <c r="J13" s="129"/>
      <c r="K13" s="129"/>
      <c r="L13" s="129"/>
      <c r="M13" s="129"/>
      <c r="N13" s="129"/>
      <c r="O13" s="129"/>
      <c r="P13" s="129"/>
    </row>
    <row r="14" spans="1:16" ht="15.6" x14ac:dyDescent="0.3">
      <c r="A14" s="145" t="s">
        <v>67</v>
      </c>
      <c r="B14" s="146">
        <f>+'Calculadora VIVENDI'!C20</f>
        <v>0.12000000000000001</v>
      </c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</row>
    <row r="15" spans="1:16" x14ac:dyDescent="0.3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29"/>
    </row>
    <row r="16" spans="1:16" ht="15.6" x14ac:dyDescent="0.3">
      <c r="A16" s="129"/>
      <c r="B16" s="129"/>
      <c r="C16" s="129"/>
      <c r="D16" s="147" t="s">
        <v>68</v>
      </c>
      <c r="E16" s="147" t="s">
        <v>71</v>
      </c>
      <c r="F16" s="147" t="s">
        <v>70</v>
      </c>
      <c r="G16" s="147" t="s">
        <v>69</v>
      </c>
      <c r="H16" s="129"/>
      <c r="I16" s="129"/>
      <c r="J16" s="129"/>
      <c r="K16" s="129"/>
      <c r="L16" s="129"/>
      <c r="M16" s="129"/>
      <c r="N16" s="129"/>
      <c r="O16" s="129"/>
      <c r="P16" s="129"/>
    </row>
    <row r="17" spans="1:16" ht="15.6" x14ac:dyDescent="0.3">
      <c r="A17" s="129"/>
      <c r="B17" s="129"/>
      <c r="C17" s="129"/>
      <c r="D17" s="148">
        <v>1</v>
      </c>
      <c r="E17" s="149">
        <f>+B11</f>
        <v>150000</v>
      </c>
      <c r="F17" s="150">
        <f>+E17*$B$14</f>
        <v>18000</v>
      </c>
      <c r="G17" s="149">
        <f>+E17+F17</f>
        <v>168000</v>
      </c>
      <c r="H17" s="129"/>
      <c r="I17" s="129"/>
      <c r="J17" s="129"/>
      <c r="K17" s="129"/>
      <c r="L17" s="129"/>
      <c r="M17" s="129"/>
      <c r="N17" s="129"/>
      <c r="O17" s="129"/>
      <c r="P17" s="129"/>
    </row>
    <row r="18" spans="1:16" ht="15.6" x14ac:dyDescent="0.3">
      <c r="A18" s="129"/>
      <c r="B18" s="129"/>
      <c r="C18" s="129"/>
      <c r="D18" s="148">
        <v>2</v>
      </c>
      <c r="E18" s="149">
        <f>+G17</f>
        <v>168000</v>
      </c>
      <c r="F18" s="150">
        <f>+E18*$B$14</f>
        <v>20160</v>
      </c>
      <c r="G18" s="149">
        <f t="shared" ref="G18:G21" si="0">+E18+F18</f>
        <v>188160</v>
      </c>
      <c r="H18" s="129"/>
      <c r="I18" s="129"/>
      <c r="J18" s="129"/>
      <c r="K18" s="129"/>
      <c r="L18" s="129"/>
      <c r="M18" s="129"/>
      <c r="N18" s="129"/>
      <c r="O18" s="129"/>
      <c r="P18" s="129"/>
    </row>
    <row r="19" spans="1:16" ht="15.6" x14ac:dyDescent="0.3">
      <c r="A19" s="129"/>
      <c r="B19" s="129"/>
      <c r="C19" s="129"/>
      <c r="D19" s="148">
        <v>3</v>
      </c>
      <c r="E19" s="149">
        <f t="shared" ref="E19:E21" si="1">+G18</f>
        <v>188160</v>
      </c>
      <c r="F19" s="150">
        <f>+E19*$B$14</f>
        <v>22579.200000000001</v>
      </c>
      <c r="G19" s="149">
        <f t="shared" si="0"/>
        <v>210739.20000000001</v>
      </c>
      <c r="H19" s="129"/>
      <c r="I19" s="129"/>
      <c r="J19" s="129"/>
      <c r="K19" s="129"/>
      <c r="L19" s="129"/>
      <c r="M19" s="129"/>
      <c r="N19" s="129"/>
      <c r="O19" s="129"/>
      <c r="P19" s="129"/>
    </row>
    <row r="20" spans="1:16" ht="15.6" x14ac:dyDescent="0.3">
      <c r="A20" s="129"/>
      <c r="B20" s="129"/>
      <c r="C20" s="129"/>
      <c r="D20" s="148">
        <v>4</v>
      </c>
      <c r="E20" s="149">
        <f t="shared" si="1"/>
        <v>210739.20000000001</v>
      </c>
      <c r="F20" s="150">
        <f>+E20*$B$14</f>
        <v>25288.704000000005</v>
      </c>
      <c r="G20" s="149">
        <f t="shared" si="0"/>
        <v>236027.90400000001</v>
      </c>
      <c r="H20" s="129"/>
      <c r="I20" s="129"/>
      <c r="J20" s="129"/>
      <c r="K20" s="129"/>
      <c r="L20" s="129"/>
      <c r="M20" s="129"/>
      <c r="N20" s="129"/>
      <c r="O20" s="129"/>
      <c r="P20" s="129"/>
    </row>
    <row r="21" spans="1:16" ht="16.2" thickBot="1" x14ac:dyDescent="0.35">
      <c r="A21" s="129"/>
      <c r="B21" s="129"/>
      <c r="C21" s="129"/>
      <c r="D21" s="151">
        <v>5</v>
      </c>
      <c r="E21" s="152">
        <f t="shared" si="1"/>
        <v>236027.90400000001</v>
      </c>
      <c r="F21" s="153">
        <f>+E21*$B$14</f>
        <v>28323.348480000004</v>
      </c>
      <c r="G21" s="152">
        <f t="shared" si="0"/>
        <v>264351.25248000002</v>
      </c>
      <c r="H21" s="129"/>
      <c r="I21" s="129"/>
      <c r="J21" s="129"/>
      <c r="K21" s="129"/>
      <c r="L21" s="129"/>
      <c r="M21" s="129"/>
      <c r="N21" s="129"/>
      <c r="O21" s="129"/>
      <c r="P21" s="129"/>
    </row>
    <row r="22" spans="1:16" ht="15" thickTop="1" x14ac:dyDescent="0.3">
      <c r="A22" s="129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</row>
    <row r="23" spans="1:16" x14ac:dyDescent="0.3">
      <c r="A23" s="129"/>
      <c r="B23" s="129"/>
      <c r="C23" s="129"/>
      <c r="D23" s="129"/>
      <c r="E23" s="129"/>
      <c r="F23" s="154" t="s">
        <v>72</v>
      </c>
      <c r="G23" s="155">
        <f>+G21</f>
        <v>264351.25248000002</v>
      </c>
      <c r="H23" s="129"/>
      <c r="I23" s="129"/>
      <c r="J23" s="129"/>
      <c r="K23" s="129"/>
      <c r="L23" s="129"/>
      <c r="M23" s="129"/>
      <c r="N23" s="129"/>
      <c r="O23" s="129"/>
      <c r="P23" s="129"/>
    </row>
    <row r="24" spans="1:16" x14ac:dyDescent="0.3">
      <c r="A24" s="129"/>
      <c r="B24" s="129"/>
      <c r="C24" s="129"/>
      <c r="D24" s="129"/>
      <c r="E24" s="129"/>
      <c r="F24" s="156" t="s">
        <v>75</v>
      </c>
      <c r="G24" s="157">
        <f>+G23-E17</f>
        <v>114351.25248000002</v>
      </c>
      <c r="H24" s="129"/>
      <c r="I24" s="129"/>
      <c r="J24" s="129"/>
      <c r="K24" s="129"/>
      <c r="L24" s="129"/>
      <c r="M24" s="129"/>
      <c r="N24" s="129"/>
      <c r="O24" s="129"/>
      <c r="P24" s="129"/>
    </row>
    <row r="25" spans="1:16" x14ac:dyDescent="0.3">
      <c r="A25" s="129"/>
      <c r="B25" s="129"/>
      <c r="C25" s="129"/>
      <c r="D25" s="129"/>
      <c r="E25" s="129"/>
      <c r="F25" s="156" t="s">
        <v>76</v>
      </c>
      <c r="G25" s="157">
        <f>+F17*B12</f>
        <v>90000</v>
      </c>
      <c r="H25" s="158" t="s">
        <v>86</v>
      </c>
      <c r="I25" s="159"/>
      <c r="J25" s="159"/>
      <c r="K25" s="159"/>
      <c r="L25" s="159"/>
      <c r="M25" s="129"/>
      <c r="N25" s="129"/>
      <c r="O25" s="129"/>
      <c r="P25" s="129"/>
    </row>
    <row r="26" spans="1:16" x14ac:dyDescent="0.3">
      <c r="A26" s="129"/>
      <c r="B26" s="129"/>
      <c r="C26" s="129"/>
      <c r="D26" s="129"/>
      <c r="E26" s="129"/>
      <c r="F26" s="154" t="s">
        <v>73</v>
      </c>
      <c r="G26" s="160">
        <f>+G24/B11</f>
        <v>0.76234168320000018</v>
      </c>
      <c r="H26" s="129"/>
      <c r="I26" s="129"/>
      <c r="J26" s="129"/>
      <c r="K26" s="129"/>
      <c r="L26" s="129"/>
      <c r="M26" s="129"/>
      <c r="N26" s="129"/>
      <c r="O26" s="129"/>
      <c r="P26" s="129"/>
    </row>
    <row r="27" spans="1:16" x14ac:dyDescent="0.3">
      <c r="A27" s="129"/>
      <c r="B27" s="129"/>
      <c r="C27" s="129"/>
      <c r="D27" s="129"/>
      <c r="E27" s="129"/>
      <c r="F27" s="154" t="s">
        <v>74</v>
      </c>
      <c r="G27" s="161">
        <f>+(G24/B12)/B11</f>
        <v>0.15246833664000004</v>
      </c>
      <c r="H27" s="129"/>
      <c r="I27" s="129"/>
      <c r="J27" s="129"/>
      <c r="K27" s="129"/>
      <c r="L27" s="129"/>
      <c r="M27" s="129"/>
      <c r="N27" s="129"/>
      <c r="O27" s="129"/>
      <c r="P27" s="129"/>
    </row>
    <row r="28" spans="1:16" x14ac:dyDescent="0.3">
      <c r="A28" s="129"/>
      <c r="B28" s="129"/>
      <c r="C28" s="129"/>
      <c r="D28" s="129"/>
      <c r="E28" s="129"/>
      <c r="F28" s="129"/>
      <c r="G28" s="162"/>
      <c r="H28" s="129"/>
      <c r="I28" s="129"/>
      <c r="J28" s="129"/>
      <c r="K28" s="129"/>
      <c r="L28" s="129"/>
      <c r="M28" s="129"/>
      <c r="N28" s="129"/>
      <c r="O28" s="129"/>
      <c r="P28" s="129"/>
    </row>
    <row r="29" spans="1:16" x14ac:dyDescent="0.3">
      <c r="A29" s="129"/>
      <c r="B29" s="129"/>
      <c r="C29" s="129"/>
      <c r="D29" s="129"/>
      <c r="E29" s="129"/>
      <c r="F29" s="129"/>
      <c r="G29" s="162"/>
      <c r="H29" s="129"/>
      <c r="I29" s="129"/>
      <c r="J29" s="129"/>
      <c r="K29" s="129"/>
      <c r="L29" s="129"/>
      <c r="M29" s="129"/>
      <c r="N29" s="129"/>
      <c r="O29" s="129"/>
      <c r="P29" s="129"/>
    </row>
    <row r="30" spans="1:16" x14ac:dyDescent="0.3">
      <c r="A30" s="129"/>
      <c r="B30" s="129"/>
      <c r="C30" s="129"/>
      <c r="D30" s="129"/>
      <c r="E30" s="129"/>
      <c r="F30" s="129"/>
      <c r="G30" s="162"/>
      <c r="H30" s="129"/>
      <c r="I30" s="129"/>
      <c r="J30" s="129"/>
      <c r="K30" s="129"/>
      <c r="L30" s="129"/>
      <c r="M30" s="129"/>
      <c r="N30" s="129"/>
      <c r="O30" s="129"/>
      <c r="P30" s="129"/>
    </row>
    <row r="31" spans="1:16" ht="21" x14ac:dyDescent="0.4">
      <c r="A31" s="129"/>
      <c r="B31" s="129"/>
      <c r="C31" s="129"/>
      <c r="D31" s="163" t="s">
        <v>87</v>
      </c>
      <c r="E31" s="163"/>
      <c r="F31" s="163"/>
      <c r="G31" s="163"/>
      <c r="H31" s="163"/>
      <c r="I31" s="129"/>
      <c r="J31" s="129"/>
      <c r="K31" s="129"/>
      <c r="L31" s="129"/>
      <c r="M31" s="129"/>
      <c r="N31" s="129"/>
      <c r="O31" s="129"/>
      <c r="P31" s="129"/>
    </row>
    <row r="32" spans="1:16" x14ac:dyDescent="0.3">
      <c r="A32" s="129"/>
      <c r="B32" s="129"/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29"/>
      <c r="P32" s="129"/>
    </row>
    <row r="33" spans="1:16" ht="15.6" x14ac:dyDescent="0.3">
      <c r="A33" s="129"/>
      <c r="B33" s="129"/>
      <c r="C33" s="129"/>
      <c r="D33" s="147" t="s">
        <v>68</v>
      </c>
      <c r="E33" s="147" t="s">
        <v>71</v>
      </c>
      <c r="F33" s="147" t="s">
        <v>88</v>
      </c>
      <c r="G33" s="147" t="s">
        <v>70</v>
      </c>
      <c r="H33" s="147" t="s">
        <v>69</v>
      </c>
      <c r="I33" s="129"/>
      <c r="J33" s="129"/>
      <c r="K33" s="129"/>
      <c r="L33" s="129"/>
      <c r="M33" s="129"/>
      <c r="N33" s="129"/>
      <c r="O33" s="129"/>
      <c r="P33" s="129"/>
    </row>
    <row r="34" spans="1:16" ht="15.6" x14ac:dyDescent="0.3">
      <c r="A34" s="129"/>
      <c r="B34" s="129"/>
      <c r="C34" s="129"/>
      <c r="D34" s="148">
        <v>1</v>
      </c>
      <c r="E34" s="149">
        <f>+B11</f>
        <v>150000</v>
      </c>
      <c r="F34" s="149">
        <v>0</v>
      </c>
      <c r="G34" s="150">
        <f>+(E34+F34)*$B$14</f>
        <v>18000</v>
      </c>
      <c r="H34" s="149">
        <f>+E34+G34+F34</f>
        <v>168000</v>
      </c>
      <c r="I34" s="129"/>
      <c r="J34" s="129"/>
      <c r="K34" s="129"/>
      <c r="L34" s="129"/>
      <c r="M34" s="129"/>
      <c r="N34" s="129"/>
      <c r="O34" s="129"/>
      <c r="P34" s="129"/>
    </row>
    <row r="35" spans="1:16" ht="15.6" x14ac:dyDescent="0.3">
      <c r="A35" s="129"/>
      <c r="B35" s="129"/>
      <c r="C35" s="129"/>
      <c r="D35" s="148">
        <v>2</v>
      </c>
      <c r="E35" s="149">
        <f>+H34</f>
        <v>168000</v>
      </c>
      <c r="F35" s="149">
        <f>+$B$13</f>
        <v>0</v>
      </c>
      <c r="G35" s="150">
        <f>+(E35+F35)*$B$14</f>
        <v>20160</v>
      </c>
      <c r="H35" s="149">
        <f>+E35+G35+F35</f>
        <v>188160</v>
      </c>
      <c r="I35" s="129"/>
      <c r="J35" s="129"/>
      <c r="K35" s="129"/>
      <c r="L35" s="129"/>
      <c r="M35" s="129"/>
      <c r="N35" s="129"/>
      <c r="O35" s="129"/>
      <c r="P35" s="129"/>
    </row>
    <row r="36" spans="1:16" ht="15.6" x14ac:dyDescent="0.3">
      <c r="A36" s="129"/>
      <c r="B36" s="129"/>
      <c r="C36" s="129"/>
      <c r="D36" s="148">
        <v>3</v>
      </c>
      <c r="E36" s="149">
        <f t="shared" ref="E36:E39" si="2">+H35</f>
        <v>188160</v>
      </c>
      <c r="F36" s="149">
        <f t="shared" ref="F36:F83" si="3">+$B$13</f>
        <v>0</v>
      </c>
      <c r="G36" s="150">
        <f t="shared" ref="G36:G83" si="4">+(E36+F36)*$B$14</f>
        <v>22579.200000000001</v>
      </c>
      <c r="H36" s="149">
        <f t="shared" ref="H36:H83" si="5">+E36+G36+F36</f>
        <v>210739.20000000001</v>
      </c>
      <c r="I36" s="129"/>
      <c r="J36" s="129"/>
      <c r="K36" s="129"/>
      <c r="L36" s="129"/>
      <c r="M36" s="129"/>
      <c r="N36" s="129"/>
      <c r="O36" s="129"/>
      <c r="P36" s="129"/>
    </row>
    <row r="37" spans="1:16" ht="15.6" x14ac:dyDescent="0.3">
      <c r="A37" s="129"/>
      <c r="B37" s="129"/>
      <c r="C37" s="129"/>
      <c r="D37" s="148">
        <v>4</v>
      </c>
      <c r="E37" s="149">
        <f t="shared" si="2"/>
        <v>210739.20000000001</v>
      </c>
      <c r="F37" s="149">
        <f t="shared" si="3"/>
        <v>0</v>
      </c>
      <c r="G37" s="150">
        <f t="shared" si="4"/>
        <v>25288.704000000005</v>
      </c>
      <c r="H37" s="149">
        <f t="shared" si="5"/>
        <v>236027.90400000001</v>
      </c>
      <c r="I37" s="129"/>
      <c r="J37" s="129"/>
      <c r="K37" s="129"/>
      <c r="L37" s="129"/>
      <c r="M37" s="129"/>
      <c r="N37" s="129"/>
      <c r="O37" s="129"/>
      <c r="P37" s="129"/>
    </row>
    <row r="38" spans="1:16" ht="16.2" thickBot="1" x14ac:dyDescent="0.35">
      <c r="A38" s="129"/>
      <c r="B38" s="129"/>
      <c r="C38" s="129"/>
      <c r="D38" s="151">
        <v>5</v>
      </c>
      <c r="E38" s="152">
        <f t="shared" si="2"/>
        <v>236027.90400000001</v>
      </c>
      <c r="F38" s="152">
        <f t="shared" si="3"/>
        <v>0</v>
      </c>
      <c r="G38" s="153">
        <f t="shared" si="4"/>
        <v>28323.348480000004</v>
      </c>
      <c r="H38" s="152">
        <f t="shared" si="5"/>
        <v>264351.25248000002</v>
      </c>
      <c r="I38" s="129"/>
      <c r="J38" s="129"/>
      <c r="K38" s="129"/>
      <c r="L38" s="129"/>
      <c r="M38" s="129"/>
      <c r="N38" s="129"/>
      <c r="O38" s="129"/>
      <c r="P38" s="129"/>
    </row>
    <row r="39" spans="1:16" ht="16.2" thickTop="1" x14ac:dyDescent="0.3">
      <c r="A39" s="129"/>
      <c r="B39" s="129"/>
      <c r="C39" s="129"/>
      <c r="D39" s="164">
        <v>6</v>
      </c>
      <c r="E39" s="165">
        <f t="shared" si="2"/>
        <v>264351.25248000002</v>
      </c>
      <c r="F39" s="165">
        <f t="shared" si="3"/>
        <v>0</v>
      </c>
      <c r="G39" s="166">
        <f t="shared" si="4"/>
        <v>31722.150297600005</v>
      </c>
      <c r="H39" s="165">
        <f t="shared" si="5"/>
        <v>296073.40277760004</v>
      </c>
      <c r="I39" s="129"/>
      <c r="J39" s="129"/>
      <c r="K39" s="129"/>
      <c r="L39" s="129"/>
      <c r="M39" s="129"/>
      <c r="N39" s="129"/>
      <c r="O39" s="129"/>
      <c r="P39" s="129"/>
    </row>
    <row r="40" spans="1:16" ht="15.6" x14ac:dyDescent="0.3">
      <c r="A40" s="129"/>
      <c r="B40" s="129"/>
      <c r="C40" s="129"/>
      <c r="D40" s="148">
        <v>7</v>
      </c>
      <c r="E40" s="167">
        <f t="shared" ref="E40:E44" si="6">+H39</f>
        <v>296073.40277760004</v>
      </c>
      <c r="F40" s="149">
        <f t="shared" si="3"/>
        <v>0</v>
      </c>
      <c r="G40" s="150">
        <f t="shared" si="4"/>
        <v>35528.808333312008</v>
      </c>
      <c r="H40" s="149">
        <f t="shared" si="5"/>
        <v>331602.21111091203</v>
      </c>
      <c r="I40" s="129"/>
      <c r="J40" s="129"/>
      <c r="K40" s="129"/>
      <c r="L40" s="129"/>
      <c r="M40" s="129"/>
      <c r="N40" s="129"/>
      <c r="O40" s="129"/>
      <c r="P40" s="129"/>
    </row>
    <row r="41" spans="1:16" ht="15.6" x14ac:dyDescent="0.3">
      <c r="A41" s="129"/>
      <c r="B41" s="129"/>
      <c r="C41" s="129"/>
      <c r="D41" s="148">
        <v>8</v>
      </c>
      <c r="E41" s="149">
        <f t="shared" si="6"/>
        <v>331602.21111091203</v>
      </c>
      <c r="F41" s="149">
        <f t="shared" si="3"/>
        <v>0</v>
      </c>
      <c r="G41" s="150">
        <f t="shared" si="4"/>
        <v>39792.265333309449</v>
      </c>
      <c r="H41" s="149">
        <f t="shared" si="5"/>
        <v>371394.47644422145</v>
      </c>
      <c r="I41" s="129"/>
      <c r="J41" s="129"/>
      <c r="K41" s="129"/>
      <c r="L41" s="129"/>
      <c r="M41" s="129"/>
      <c r="N41" s="129"/>
      <c r="O41" s="129"/>
      <c r="P41" s="129"/>
    </row>
    <row r="42" spans="1:16" ht="15.6" x14ac:dyDescent="0.3">
      <c r="A42" s="129"/>
      <c r="B42" s="129"/>
      <c r="C42" s="129"/>
      <c r="D42" s="148">
        <v>9</v>
      </c>
      <c r="E42" s="149">
        <f t="shared" si="6"/>
        <v>371394.47644422145</v>
      </c>
      <c r="F42" s="149">
        <f t="shared" si="3"/>
        <v>0</v>
      </c>
      <c r="G42" s="150">
        <f t="shared" si="4"/>
        <v>44567.33717330658</v>
      </c>
      <c r="H42" s="149">
        <f t="shared" si="5"/>
        <v>415961.81361752801</v>
      </c>
      <c r="I42" s="129"/>
      <c r="J42" s="129"/>
      <c r="K42" s="129"/>
      <c r="L42" s="129"/>
      <c r="M42" s="129"/>
      <c r="N42" s="129"/>
      <c r="O42" s="129"/>
      <c r="P42" s="129"/>
    </row>
    <row r="43" spans="1:16" ht="16.2" thickBot="1" x14ac:dyDescent="0.35">
      <c r="A43" s="129"/>
      <c r="B43" s="129"/>
      <c r="C43" s="129"/>
      <c r="D43" s="151">
        <v>10</v>
      </c>
      <c r="E43" s="152">
        <f t="shared" si="6"/>
        <v>415961.81361752801</v>
      </c>
      <c r="F43" s="152">
        <f t="shared" si="3"/>
        <v>0</v>
      </c>
      <c r="G43" s="153">
        <f t="shared" si="4"/>
        <v>49915.417634103367</v>
      </c>
      <c r="H43" s="152">
        <f t="shared" si="5"/>
        <v>465877.2312516314</v>
      </c>
      <c r="I43" s="129"/>
      <c r="J43" s="129"/>
      <c r="K43" s="129"/>
      <c r="L43" s="129"/>
      <c r="M43" s="129"/>
      <c r="N43" s="129"/>
      <c r="O43" s="129"/>
      <c r="P43" s="129"/>
    </row>
    <row r="44" spans="1:16" ht="16.2" thickTop="1" x14ac:dyDescent="0.3">
      <c r="A44" s="129"/>
      <c r="B44" s="129"/>
      <c r="C44" s="129"/>
      <c r="D44" s="164">
        <v>11</v>
      </c>
      <c r="E44" s="165">
        <f t="shared" si="6"/>
        <v>465877.2312516314</v>
      </c>
      <c r="F44" s="165">
        <f t="shared" si="3"/>
        <v>0</v>
      </c>
      <c r="G44" s="166">
        <f t="shared" si="4"/>
        <v>55905.267750195773</v>
      </c>
      <c r="H44" s="165">
        <f t="shared" si="5"/>
        <v>521782.49900182715</v>
      </c>
      <c r="I44" s="129"/>
      <c r="J44" s="129"/>
      <c r="K44" s="129"/>
      <c r="L44" s="129"/>
      <c r="M44" s="129"/>
      <c r="N44" s="129"/>
      <c r="O44" s="129"/>
      <c r="P44" s="129"/>
    </row>
    <row r="45" spans="1:16" ht="15.6" x14ac:dyDescent="0.3">
      <c r="A45" s="129"/>
      <c r="B45" s="129"/>
      <c r="C45" s="129"/>
      <c r="D45" s="148">
        <v>12</v>
      </c>
      <c r="E45" s="167">
        <f t="shared" ref="E45:E49" si="7">+H44</f>
        <v>521782.49900182715</v>
      </c>
      <c r="F45" s="149">
        <f t="shared" si="3"/>
        <v>0</v>
      </c>
      <c r="G45" s="150">
        <f t="shared" si="4"/>
        <v>62613.899880219265</v>
      </c>
      <c r="H45" s="149">
        <f t="shared" si="5"/>
        <v>584396.39888204646</v>
      </c>
      <c r="I45" s="129"/>
      <c r="J45" s="129"/>
      <c r="K45" s="129"/>
      <c r="L45" s="129"/>
      <c r="M45" s="129"/>
      <c r="N45" s="129"/>
      <c r="O45" s="129"/>
      <c r="P45" s="129"/>
    </row>
    <row r="46" spans="1:16" ht="15.6" x14ac:dyDescent="0.3">
      <c r="A46" s="129"/>
      <c r="B46" s="129"/>
      <c r="C46" s="129"/>
      <c r="D46" s="148">
        <v>13</v>
      </c>
      <c r="E46" s="149">
        <f t="shared" si="7"/>
        <v>584396.39888204646</v>
      </c>
      <c r="F46" s="149">
        <f t="shared" si="3"/>
        <v>0</v>
      </c>
      <c r="G46" s="150">
        <f t="shared" si="4"/>
        <v>70127.567865845587</v>
      </c>
      <c r="H46" s="149">
        <f t="shared" si="5"/>
        <v>654523.96674789209</v>
      </c>
      <c r="I46" s="129"/>
      <c r="J46" s="129"/>
      <c r="K46" s="129"/>
      <c r="L46" s="129"/>
      <c r="M46" s="129"/>
      <c r="N46" s="129"/>
      <c r="O46" s="129"/>
      <c r="P46" s="129"/>
    </row>
    <row r="47" spans="1:16" ht="15.6" x14ac:dyDescent="0.3">
      <c r="A47" s="129"/>
      <c r="B47" s="129"/>
      <c r="C47" s="129"/>
      <c r="D47" s="148">
        <v>14</v>
      </c>
      <c r="E47" s="149">
        <f t="shared" si="7"/>
        <v>654523.96674789209</v>
      </c>
      <c r="F47" s="149">
        <f t="shared" si="3"/>
        <v>0</v>
      </c>
      <c r="G47" s="150">
        <f t="shared" si="4"/>
        <v>78542.876009747051</v>
      </c>
      <c r="H47" s="149">
        <f t="shared" si="5"/>
        <v>733066.84275763913</v>
      </c>
      <c r="I47" s="129"/>
      <c r="J47" s="129"/>
      <c r="K47" s="129"/>
      <c r="L47" s="129"/>
      <c r="M47" s="129"/>
      <c r="N47" s="129"/>
      <c r="O47" s="129"/>
      <c r="P47" s="129"/>
    </row>
    <row r="48" spans="1:16" ht="16.2" thickBot="1" x14ac:dyDescent="0.35">
      <c r="A48" s="129"/>
      <c r="B48" s="129"/>
      <c r="C48" s="129"/>
      <c r="D48" s="151">
        <v>15</v>
      </c>
      <c r="E48" s="152">
        <f t="shared" si="7"/>
        <v>733066.84275763913</v>
      </c>
      <c r="F48" s="152">
        <f t="shared" si="3"/>
        <v>0</v>
      </c>
      <c r="G48" s="153">
        <f t="shared" si="4"/>
        <v>87968.021130916706</v>
      </c>
      <c r="H48" s="152">
        <f t="shared" si="5"/>
        <v>821034.86388855579</v>
      </c>
      <c r="I48" s="129"/>
      <c r="J48" s="129"/>
      <c r="K48" s="129"/>
      <c r="L48" s="129"/>
      <c r="M48" s="129"/>
      <c r="N48" s="129"/>
      <c r="O48" s="129"/>
      <c r="P48" s="129"/>
    </row>
    <row r="49" spans="1:16" ht="16.2" thickTop="1" x14ac:dyDescent="0.3">
      <c r="A49" s="129"/>
      <c r="B49" s="129"/>
      <c r="C49" s="129"/>
      <c r="D49" s="164">
        <v>16</v>
      </c>
      <c r="E49" s="165">
        <f t="shared" si="7"/>
        <v>821034.86388855579</v>
      </c>
      <c r="F49" s="165">
        <f t="shared" si="3"/>
        <v>0</v>
      </c>
      <c r="G49" s="166">
        <f t="shared" si="4"/>
        <v>98524.183666626705</v>
      </c>
      <c r="H49" s="165">
        <f t="shared" si="5"/>
        <v>919559.04755518248</v>
      </c>
      <c r="I49" s="129"/>
      <c r="J49" s="129"/>
      <c r="K49" s="129"/>
      <c r="L49" s="129"/>
      <c r="M49" s="129"/>
      <c r="N49" s="129"/>
      <c r="O49" s="129"/>
      <c r="P49" s="129"/>
    </row>
    <row r="50" spans="1:16" ht="15.6" x14ac:dyDescent="0.3">
      <c r="A50" s="129"/>
      <c r="B50" s="129"/>
      <c r="C50" s="129"/>
      <c r="D50" s="148">
        <v>17</v>
      </c>
      <c r="E50" s="167">
        <f t="shared" ref="E50:E54" si="8">+H49</f>
        <v>919559.04755518248</v>
      </c>
      <c r="F50" s="149">
        <f t="shared" si="3"/>
        <v>0</v>
      </c>
      <c r="G50" s="150">
        <f t="shared" si="4"/>
        <v>110347.0857066219</v>
      </c>
      <c r="H50" s="149">
        <f t="shared" si="5"/>
        <v>1029906.1332618044</v>
      </c>
      <c r="I50" s="129"/>
      <c r="J50" s="129"/>
      <c r="K50" s="129"/>
      <c r="L50" s="129"/>
      <c r="M50" s="129"/>
      <c r="N50" s="129"/>
      <c r="O50" s="129"/>
      <c r="P50" s="129"/>
    </row>
    <row r="51" spans="1:16" ht="15.6" x14ac:dyDescent="0.3">
      <c r="A51" s="129"/>
      <c r="B51" s="129"/>
      <c r="C51" s="129"/>
      <c r="D51" s="148">
        <v>18</v>
      </c>
      <c r="E51" s="149">
        <f t="shared" si="8"/>
        <v>1029906.1332618044</v>
      </c>
      <c r="F51" s="149">
        <f t="shared" si="3"/>
        <v>0</v>
      </c>
      <c r="G51" s="150">
        <f t="shared" si="4"/>
        <v>123588.73599141653</v>
      </c>
      <c r="H51" s="149">
        <f t="shared" si="5"/>
        <v>1153494.869253221</v>
      </c>
      <c r="I51" s="129"/>
      <c r="J51" s="129"/>
      <c r="K51" s="129"/>
      <c r="L51" s="129"/>
      <c r="M51" s="129"/>
      <c r="N51" s="129"/>
      <c r="O51" s="129"/>
      <c r="P51" s="129"/>
    </row>
    <row r="52" spans="1:16" ht="15.6" x14ac:dyDescent="0.3">
      <c r="A52" s="129"/>
      <c r="B52" s="129"/>
      <c r="C52" s="129"/>
      <c r="D52" s="148">
        <v>19</v>
      </c>
      <c r="E52" s="149">
        <f t="shared" si="8"/>
        <v>1153494.869253221</v>
      </c>
      <c r="F52" s="149">
        <f t="shared" si="3"/>
        <v>0</v>
      </c>
      <c r="G52" s="150">
        <f t="shared" si="4"/>
        <v>138419.38431038652</v>
      </c>
      <c r="H52" s="149">
        <f t="shared" si="5"/>
        <v>1291914.2535636076</v>
      </c>
      <c r="I52" s="129"/>
      <c r="J52" s="129"/>
      <c r="K52" s="129"/>
      <c r="L52" s="129"/>
      <c r="M52" s="129"/>
      <c r="N52" s="129"/>
      <c r="O52" s="129"/>
      <c r="P52" s="129"/>
    </row>
    <row r="53" spans="1:16" ht="16.2" thickBot="1" x14ac:dyDescent="0.35">
      <c r="A53" s="129"/>
      <c r="B53" s="129"/>
      <c r="C53" s="129"/>
      <c r="D53" s="151">
        <v>20</v>
      </c>
      <c r="E53" s="152">
        <f t="shared" si="8"/>
        <v>1291914.2535636076</v>
      </c>
      <c r="F53" s="152">
        <f t="shared" si="3"/>
        <v>0</v>
      </c>
      <c r="G53" s="153">
        <f t="shared" si="4"/>
        <v>155029.71042763293</v>
      </c>
      <c r="H53" s="152">
        <f t="shared" si="5"/>
        <v>1446943.9639912406</v>
      </c>
      <c r="I53" s="129"/>
      <c r="J53" s="129"/>
      <c r="K53" s="129"/>
      <c r="L53" s="129"/>
      <c r="M53" s="129"/>
      <c r="N53" s="129"/>
      <c r="O53" s="129"/>
      <c r="P53" s="129"/>
    </row>
    <row r="54" spans="1:16" ht="16.2" thickTop="1" x14ac:dyDescent="0.3">
      <c r="A54" s="129"/>
      <c r="B54" s="129"/>
      <c r="C54" s="129"/>
      <c r="D54" s="164">
        <v>21</v>
      </c>
      <c r="E54" s="165">
        <f t="shared" si="8"/>
        <v>1446943.9639912406</v>
      </c>
      <c r="F54" s="165">
        <f t="shared" si="3"/>
        <v>0</v>
      </c>
      <c r="G54" s="166">
        <f t="shared" si="4"/>
        <v>173633.27567894888</v>
      </c>
      <c r="H54" s="165">
        <f t="shared" si="5"/>
        <v>1620577.2396701896</v>
      </c>
      <c r="I54" s="129"/>
      <c r="J54" s="129"/>
      <c r="K54" s="129"/>
      <c r="L54" s="129"/>
      <c r="M54" s="129"/>
      <c r="N54" s="129"/>
      <c r="O54" s="129"/>
      <c r="P54" s="129"/>
    </row>
    <row r="55" spans="1:16" ht="15.6" x14ac:dyDescent="0.3">
      <c r="A55" s="129"/>
      <c r="B55" s="129"/>
      <c r="C55" s="129"/>
      <c r="D55" s="148">
        <v>22</v>
      </c>
      <c r="E55" s="167">
        <f t="shared" ref="E55:E59" si="9">+H54</f>
        <v>1620577.2396701896</v>
      </c>
      <c r="F55" s="149">
        <f t="shared" si="3"/>
        <v>0</v>
      </c>
      <c r="G55" s="150">
        <f t="shared" si="4"/>
        <v>194469.26876042277</v>
      </c>
      <c r="H55" s="149">
        <f t="shared" si="5"/>
        <v>1815046.5084306123</v>
      </c>
      <c r="I55" s="129"/>
      <c r="J55" s="129"/>
      <c r="K55" s="129"/>
      <c r="L55" s="129"/>
      <c r="M55" s="129"/>
      <c r="N55" s="129"/>
      <c r="O55" s="129"/>
      <c r="P55" s="129"/>
    </row>
    <row r="56" spans="1:16" ht="15.6" x14ac:dyDescent="0.3">
      <c r="A56" s="129"/>
      <c r="B56" s="129"/>
      <c r="C56" s="129"/>
      <c r="D56" s="148">
        <v>23</v>
      </c>
      <c r="E56" s="149">
        <f t="shared" si="9"/>
        <v>1815046.5084306123</v>
      </c>
      <c r="F56" s="149">
        <f t="shared" si="3"/>
        <v>0</v>
      </c>
      <c r="G56" s="150">
        <f t="shared" si="4"/>
        <v>217805.58101167349</v>
      </c>
      <c r="H56" s="149">
        <f t="shared" si="5"/>
        <v>2032852.0894422857</v>
      </c>
      <c r="I56" s="129"/>
      <c r="J56" s="129"/>
      <c r="K56" s="129"/>
      <c r="L56" s="129"/>
      <c r="M56" s="129"/>
      <c r="N56" s="129"/>
      <c r="O56" s="129"/>
      <c r="P56" s="129"/>
    </row>
    <row r="57" spans="1:16" ht="15.6" x14ac:dyDescent="0.3">
      <c r="A57" s="129"/>
      <c r="B57" s="129"/>
      <c r="C57" s="129"/>
      <c r="D57" s="148">
        <v>24</v>
      </c>
      <c r="E57" s="149">
        <f t="shared" si="9"/>
        <v>2032852.0894422857</v>
      </c>
      <c r="F57" s="149">
        <f t="shared" si="3"/>
        <v>0</v>
      </c>
      <c r="G57" s="150">
        <f t="shared" si="4"/>
        <v>243942.2507330743</v>
      </c>
      <c r="H57" s="149">
        <f t="shared" si="5"/>
        <v>2276794.34017536</v>
      </c>
      <c r="I57" s="129"/>
      <c r="J57" s="129"/>
      <c r="K57" s="129"/>
      <c r="L57" s="129"/>
      <c r="M57" s="129"/>
      <c r="N57" s="129"/>
      <c r="O57" s="129"/>
      <c r="P57" s="129"/>
    </row>
    <row r="58" spans="1:16" ht="16.2" thickBot="1" x14ac:dyDescent="0.35">
      <c r="A58" s="129"/>
      <c r="B58" s="129"/>
      <c r="C58" s="129"/>
      <c r="D58" s="151">
        <v>25</v>
      </c>
      <c r="E58" s="152">
        <f t="shared" si="9"/>
        <v>2276794.34017536</v>
      </c>
      <c r="F58" s="152">
        <f t="shared" si="3"/>
        <v>0</v>
      </c>
      <c r="G58" s="153">
        <f t="shared" si="4"/>
        <v>273215.32082104322</v>
      </c>
      <c r="H58" s="152">
        <f t="shared" si="5"/>
        <v>2550009.6609964031</v>
      </c>
      <c r="I58" s="129"/>
      <c r="J58" s="129"/>
      <c r="K58" s="129"/>
      <c r="L58" s="129"/>
      <c r="M58" s="129"/>
      <c r="N58" s="129"/>
      <c r="O58" s="129"/>
      <c r="P58" s="129"/>
    </row>
    <row r="59" spans="1:16" ht="16.2" thickTop="1" x14ac:dyDescent="0.3">
      <c r="A59" s="129"/>
      <c r="B59" s="129"/>
      <c r="C59" s="129"/>
      <c r="D59" s="164">
        <v>26</v>
      </c>
      <c r="E59" s="165">
        <f t="shared" si="9"/>
        <v>2550009.6609964031</v>
      </c>
      <c r="F59" s="165">
        <f t="shared" si="3"/>
        <v>0</v>
      </c>
      <c r="G59" s="166">
        <f t="shared" si="4"/>
        <v>306001.15931956837</v>
      </c>
      <c r="H59" s="165">
        <f t="shared" si="5"/>
        <v>2856010.8203159715</v>
      </c>
      <c r="I59" s="129"/>
      <c r="J59" s="129"/>
      <c r="K59" s="129"/>
      <c r="L59" s="129"/>
      <c r="M59" s="129"/>
      <c r="N59" s="129"/>
      <c r="O59" s="129"/>
      <c r="P59" s="129"/>
    </row>
    <row r="60" spans="1:16" ht="15.6" x14ac:dyDescent="0.3">
      <c r="A60" s="129"/>
      <c r="B60" s="129"/>
      <c r="C60" s="129"/>
      <c r="D60" s="148">
        <v>27</v>
      </c>
      <c r="E60" s="167">
        <f t="shared" ref="E60:E64" si="10">+H59</f>
        <v>2856010.8203159715</v>
      </c>
      <c r="F60" s="149">
        <f t="shared" si="3"/>
        <v>0</v>
      </c>
      <c r="G60" s="150">
        <f t="shared" si="4"/>
        <v>342721.29843791662</v>
      </c>
      <c r="H60" s="149">
        <f t="shared" si="5"/>
        <v>3198732.1187538882</v>
      </c>
      <c r="I60" s="129"/>
      <c r="J60" s="129"/>
      <c r="K60" s="129"/>
      <c r="L60" s="129"/>
      <c r="M60" s="129"/>
      <c r="N60" s="129"/>
      <c r="O60" s="129"/>
      <c r="P60" s="129"/>
    </row>
    <row r="61" spans="1:16" ht="15.6" x14ac:dyDescent="0.3">
      <c r="A61" s="129"/>
      <c r="B61" s="129"/>
      <c r="C61" s="129"/>
      <c r="D61" s="148">
        <v>28</v>
      </c>
      <c r="E61" s="149">
        <f t="shared" si="10"/>
        <v>3198732.1187538882</v>
      </c>
      <c r="F61" s="149">
        <f t="shared" si="3"/>
        <v>0</v>
      </c>
      <c r="G61" s="150">
        <f t="shared" si="4"/>
        <v>383847.85425046663</v>
      </c>
      <c r="H61" s="149">
        <f t="shared" si="5"/>
        <v>3582579.9730043546</v>
      </c>
      <c r="I61" s="129"/>
      <c r="J61" s="129"/>
      <c r="K61" s="129"/>
      <c r="L61" s="129"/>
      <c r="M61" s="129"/>
      <c r="N61" s="129"/>
      <c r="O61" s="129"/>
      <c r="P61" s="129"/>
    </row>
    <row r="62" spans="1:16" ht="15.6" x14ac:dyDescent="0.3">
      <c r="A62" s="129"/>
      <c r="B62" s="129"/>
      <c r="C62" s="129"/>
      <c r="D62" s="148">
        <v>29</v>
      </c>
      <c r="E62" s="149">
        <f t="shared" si="10"/>
        <v>3582579.9730043546</v>
      </c>
      <c r="F62" s="149">
        <f t="shared" si="3"/>
        <v>0</v>
      </c>
      <c r="G62" s="150">
        <f t="shared" si="4"/>
        <v>429909.59676052257</v>
      </c>
      <c r="H62" s="149">
        <f t="shared" si="5"/>
        <v>4012489.5697648772</v>
      </c>
      <c r="I62" s="129"/>
      <c r="J62" s="129"/>
      <c r="K62" s="129"/>
      <c r="L62" s="129"/>
      <c r="M62" s="129"/>
      <c r="N62" s="129"/>
      <c r="O62" s="129"/>
      <c r="P62" s="129"/>
    </row>
    <row r="63" spans="1:16" ht="16.2" thickBot="1" x14ac:dyDescent="0.35">
      <c r="A63" s="129"/>
      <c r="B63" s="129"/>
      <c r="C63" s="129"/>
      <c r="D63" s="151">
        <v>30</v>
      </c>
      <c r="E63" s="152">
        <f t="shared" si="10"/>
        <v>4012489.5697648772</v>
      </c>
      <c r="F63" s="152">
        <f t="shared" si="3"/>
        <v>0</v>
      </c>
      <c r="G63" s="153">
        <f t="shared" si="4"/>
        <v>481498.74837178527</v>
      </c>
      <c r="H63" s="152">
        <f t="shared" si="5"/>
        <v>4493988.3181366622</v>
      </c>
      <c r="I63" s="129"/>
      <c r="J63" s="129"/>
      <c r="K63" s="129"/>
      <c r="L63" s="129"/>
      <c r="M63" s="129"/>
      <c r="N63" s="129"/>
      <c r="O63" s="129"/>
      <c r="P63" s="129"/>
    </row>
    <row r="64" spans="1:16" ht="16.2" thickTop="1" x14ac:dyDescent="0.3">
      <c r="A64" s="129"/>
      <c r="B64" s="129"/>
      <c r="C64" s="129"/>
      <c r="D64" s="164">
        <v>31</v>
      </c>
      <c r="E64" s="165">
        <f t="shared" si="10"/>
        <v>4493988.3181366622</v>
      </c>
      <c r="F64" s="165">
        <f t="shared" si="3"/>
        <v>0</v>
      </c>
      <c r="G64" s="166">
        <f t="shared" si="4"/>
        <v>539278.59817639948</v>
      </c>
      <c r="H64" s="165">
        <f t="shared" si="5"/>
        <v>5033266.9163130615</v>
      </c>
      <c r="I64" s="129"/>
      <c r="J64" s="129"/>
      <c r="K64" s="129"/>
      <c r="L64" s="129"/>
      <c r="M64" s="129"/>
      <c r="N64" s="129"/>
      <c r="O64" s="129"/>
      <c r="P64" s="129"/>
    </row>
    <row r="65" spans="1:16" ht="15.6" x14ac:dyDescent="0.3">
      <c r="A65" s="129"/>
      <c r="B65" s="129"/>
      <c r="C65" s="129"/>
      <c r="D65" s="148">
        <v>32</v>
      </c>
      <c r="E65" s="167">
        <f t="shared" ref="E65:E69" si="11">+H64</f>
        <v>5033266.9163130615</v>
      </c>
      <c r="F65" s="149">
        <f t="shared" si="3"/>
        <v>0</v>
      </c>
      <c r="G65" s="150">
        <f t="shared" si="4"/>
        <v>603992.02995756746</v>
      </c>
      <c r="H65" s="149">
        <f t="shared" si="5"/>
        <v>5637258.9462706288</v>
      </c>
      <c r="I65" s="129"/>
      <c r="J65" s="129"/>
      <c r="K65" s="129"/>
      <c r="L65" s="129"/>
      <c r="M65" s="129"/>
      <c r="N65" s="129"/>
      <c r="O65" s="129"/>
      <c r="P65" s="129"/>
    </row>
    <row r="66" spans="1:16" ht="15.6" x14ac:dyDescent="0.3">
      <c r="A66" s="129"/>
      <c r="B66" s="129"/>
      <c r="C66" s="129"/>
      <c r="D66" s="148">
        <v>33</v>
      </c>
      <c r="E66" s="149">
        <f t="shared" si="11"/>
        <v>5637258.9462706288</v>
      </c>
      <c r="F66" s="149">
        <f t="shared" si="3"/>
        <v>0</v>
      </c>
      <c r="G66" s="150">
        <f t="shared" si="4"/>
        <v>676471.07355247554</v>
      </c>
      <c r="H66" s="149">
        <f t="shared" si="5"/>
        <v>6313730.0198231041</v>
      </c>
      <c r="I66" s="129"/>
      <c r="J66" s="129"/>
      <c r="K66" s="129"/>
      <c r="L66" s="129"/>
      <c r="M66" s="129"/>
      <c r="N66" s="129"/>
      <c r="O66" s="129"/>
      <c r="P66" s="129"/>
    </row>
    <row r="67" spans="1:16" ht="15.6" x14ac:dyDescent="0.3">
      <c r="A67" s="129"/>
      <c r="B67" s="129"/>
      <c r="C67" s="129"/>
      <c r="D67" s="148">
        <v>34</v>
      </c>
      <c r="E67" s="149">
        <f t="shared" si="11"/>
        <v>6313730.0198231041</v>
      </c>
      <c r="F67" s="149">
        <f t="shared" si="3"/>
        <v>0</v>
      </c>
      <c r="G67" s="150">
        <f t="shared" si="4"/>
        <v>757647.60237877257</v>
      </c>
      <c r="H67" s="149">
        <f t="shared" si="5"/>
        <v>7071377.6222018767</v>
      </c>
      <c r="I67" s="129"/>
      <c r="J67" s="129"/>
      <c r="K67" s="129"/>
      <c r="L67" s="129"/>
      <c r="M67" s="129"/>
      <c r="N67" s="129"/>
      <c r="O67" s="129"/>
      <c r="P67" s="129"/>
    </row>
    <row r="68" spans="1:16" ht="16.2" thickBot="1" x14ac:dyDescent="0.35">
      <c r="A68" s="129"/>
      <c r="B68" s="129"/>
      <c r="C68" s="129"/>
      <c r="D68" s="151">
        <v>35</v>
      </c>
      <c r="E68" s="152">
        <f t="shared" si="11"/>
        <v>7071377.6222018767</v>
      </c>
      <c r="F68" s="152">
        <f t="shared" si="3"/>
        <v>0</v>
      </c>
      <c r="G68" s="153">
        <f t="shared" si="4"/>
        <v>848565.31466422533</v>
      </c>
      <c r="H68" s="152">
        <f t="shared" si="5"/>
        <v>7919942.9368661018</v>
      </c>
      <c r="I68" s="129"/>
      <c r="J68" s="129"/>
      <c r="K68" s="129"/>
      <c r="L68" s="129"/>
      <c r="M68" s="129"/>
      <c r="N68" s="129"/>
      <c r="O68" s="129"/>
      <c r="P68" s="129"/>
    </row>
    <row r="69" spans="1:16" ht="16.2" thickTop="1" x14ac:dyDescent="0.3">
      <c r="A69" s="129"/>
      <c r="B69" s="129"/>
      <c r="C69" s="129"/>
      <c r="D69" s="164">
        <v>36</v>
      </c>
      <c r="E69" s="165">
        <f t="shared" si="11"/>
        <v>7919942.9368661018</v>
      </c>
      <c r="F69" s="165">
        <f t="shared" si="3"/>
        <v>0</v>
      </c>
      <c r="G69" s="166">
        <f t="shared" si="4"/>
        <v>950393.15242393233</v>
      </c>
      <c r="H69" s="165">
        <f t="shared" si="5"/>
        <v>8870336.089290034</v>
      </c>
      <c r="I69" s="129"/>
      <c r="J69" s="129"/>
      <c r="K69" s="129"/>
      <c r="L69" s="129"/>
      <c r="M69" s="129"/>
      <c r="N69" s="129"/>
      <c r="O69" s="129"/>
      <c r="P69" s="129"/>
    </row>
    <row r="70" spans="1:16" ht="15.6" x14ac:dyDescent="0.3">
      <c r="A70" s="129"/>
      <c r="B70" s="129"/>
      <c r="C70" s="129"/>
      <c r="D70" s="148">
        <v>37</v>
      </c>
      <c r="E70" s="167">
        <f t="shared" ref="E70:E74" si="12">+H69</f>
        <v>8870336.089290034</v>
      </c>
      <c r="F70" s="149">
        <f t="shared" si="3"/>
        <v>0</v>
      </c>
      <c r="G70" s="150">
        <f t="shared" si="4"/>
        <v>1064440.3307148041</v>
      </c>
      <c r="H70" s="149">
        <f t="shared" si="5"/>
        <v>9934776.4200048372</v>
      </c>
      <c r="I70" s="129"/>
      <c r="J70" s="129"/>
      <c r="K70" s="129"/>
      <c r="L70" s="129"/>
      <c r="M70" s="129"/>
      <c r="N70" s="129"/>
      <c r="O70" s="129"/>
      <c r="P70" s="129"/>
    </row>
    <row r="71" spans="1:16" ht="15.6" x14ac:dyDescent="0.3">
      <c r="A71" s="129"/>
      <c r="B71" s="129"/>
      <c r="C71" s="129"/>
      <c r="D71" s="148">
        <v>38</v>
      </c>
      <c r="E71" s="149">
        <f t="shared" si="12"/>
        <v>9934776.4200048372</v>
      </c>
      <c r="F71" s="149">
        <f t="shared" si="3"/>
        <v>0</v>
      </c>
      <c r="G71" s="150">
        <f t="shared" si="4"/>
        <v>1192173.1704005806</v>
      </c>
      <c r="H71" s="149">
        <f t="shared" si="5"/>
        <v>11126949.590405418</v>
      </c>
      <c r="I71" s="129"/>
      <c r="J71" s="129"/>
      <c r="K71" s="129"/>
      <c r="L71" s="129"/>
      <c r="M71" s="129"/>
      <c r="N71" s="129"/>
      <c r="O71" s="129"/>
      <c r="P71" s="129"/>
    </row>
    <row r="72" spans="1:16" ht="15.6" x14ac:dyDescent="0.3">
      <c r="A72" s="129"/>
      <c r="B72" s="129"/>
      <c r="C72" s="129"/>
      <c r="D72" s="148">
        <v>39</v>
      </c>
      <c r="E72" s="149">
        <f t="shared" si="12"/>
        <v>11126949.590405418</v>
      </c>
      <c r="F72" s="149">
        <f t="shared" si="3"/>
        <v>0</v>
      </c>
      <c r="G72" s="150">
        <f t="shared" si="4"/>
        <v>1335233.9508486502</v>
      </c>
      <c r="H72" s="149">
        <f t="shared" si="5"/>
        <v>12462183.541254068</v>
      </c>
      <c r="I72" s="129"/>
      <c r="J72" s="129"/>
      <c r="K72" s="129"/>
      <c r="L72" s="129"/>
      <c r="M72" s="129"/>
      <c r="N72" s="129"/>
      <c r="O72" s="129"/>
      <c r="P72" s="129"/>
    </row>
    <row r="73" spans="1:16" ht="16.2" thickBot="1" x14ac:dyDescent="0.35">
      <c r="A73" s="129"/>
      <c r="B73" s="129"/>
      <c r="C73" s="129"/>
      <c r="D73" s="151">
        <v>40</v>
      </c>
      <c r="E73" s="152">
        <f t="shared" si="12"/>
        <v>12462183.541254068</v>
      </c>
      <c r="F73" s="152">
        <f t="shared" si="3"/>
        <v>0</v>
      </c>
      <c r="G73" s="153">
        <f t="shared" si="4"/>
        <v>1495462.0249504882</v>
      </c>
      <c r="H73" s="152">
        <f t="shared" si="5"/>
        <v>13957645.566204555</v>
      </c>
      <c r="I73" s="129"/>
      <c r="J73" s="129"/>
      <c r="K73" s="129"/>
      <c r="L73" s="129"/>
      <c r="M73" s="129"/>
      <c r="N73" s="129"/>
      <c r="O73" s="129"/>
      <c r="P73" s="129"/>
    </row>
    <row r="74" spans="1:16" ht="16.2" thickTop="1" x14ac:dyDescent="0.3">
      <c r="A74" s="129"/>
      <c r="B74" s="129"/>
      <c r="C74" s="129"/>
      <c r="D74" s="164">
        <v>41</v>
      </c>
      <c r="E74" s="165">
        <f t="shared" si="12"/>
        <v>13957645.566204555</v>
      </c>
      <c r="F74" s="165">
        <f t="shared" si="3"/>
        <v>0</v>
      </c>
      <c r="G74" s="166">
        <f t="shared" si="4"/>
        <v>1674917.4679445468</v>
      </c>
      <c r="H74" s="165">
        <f t="shared" si="5"/>
        <v>15632563.034149103</v>
      </c>
      <c r="I74" s="129"/>
      <c r="J74" s="129"/>
      <c r="K74" s="129"/>
      <c r="L74" s="129"/>
      <c r="M74" s="129"/>
      <c r="N74" s="129"/>
      <c r="O74" s="129"/>
      <c r="P74" s="129"/>
    </row>
    <row r="75" spans="1:16" ht="15.6" x14ac:dyDescent="0.3">
      <c r="A75" s="129"/>
      <c r="B75" s="129"/>
      <c r="C75" s="129"/>
      <c r="D75" s="148">
        <v>42</v>
      </c>
      <c r="E75" s="167">
        <f t="shared" ref="E75:E79" si="13">+H74</f>
        <v>15632563.034149103</v>
      </c>
      <c r="F75" s="149">
        <f t="shared" si="3"/>
        <v>0</v>
      </c>
      <c r="G75" s="150">
        <f t="shared" si="4"/>
        <v>1875907.5640978925</v>
      </c>
      <c r="H75" s="149">
        <f t="shared" si="5"/>
        <v>17508470.598246995</v>
      </c>
      <c r="I75" s="129"/>
      <c r="J75" s="129"/>
      <c r="K75" s="129"/>
      <c r="L75" s="129"/>
      <c r="M75" s="129"/>
      <c r="N75" s="129"/>
      <c r="O75" s="129"/>
      <c r="P75" s="129"/>
    </row>
    <row r="76" spans="1:16" ht="15.6" x14ac:dyDescent="0.3">
      <c r="A76" s="129"/>
      <c r="B76" s="129"/>
      <c r="C76" s="129"/>
      <c r="D76" s="148">
        <v>43</v>
      </c>
      <c r="E76" s="149">
        <f t="shared" si="13"/>
        <v>17508470.598246995</v>
      </c>
      <c r="F76" s="149">
        <f t="shared" si="3"/>
        <v>0</v>
      </c>
      <c r="G76" s="150">
        <f t="shared" si="4"/>
        <v>2101016.4717896394</v>
      </c>
      <c r="H76" s="149">
        <f t="shared" si="5"/>
        <v>19609487.070036635</v>
      </c>
      <c r="I76" s="129"/>
      <c r="J76" s="129"/>
      <c r="K76" s="129"/>
      <c r="L76" s="129"/>
      <c r="M76" s="129"/>
      <c r="N76" s="129"/>
      <c r="O76" s="129"/>
      <c r="P76" s="129"/>
    </row>
    <row r="77" spans="1:16" ht="15.6" x14ac:dyDescent="0.3">
      <c r="A77" s="129"/>
      <c r="B77" s="129"/>
      <c r="C77" s="129"/>
      <c r="D77" s="148">
        <v>44</v>
      </c>
      <c r="E77" s="149">
        <f t="shared" si="13"/>
        <v>19609487.070036635</v>
      </c>
      <c r="F77" s="149">
        <f t="shared" si="3"/>
        <v>0</v>
      </c>
      <c r="G77" s="150">
        <f t="shared" si="4"/>
        <v>2353138.4484043964</v>
      </c>
      <c r="H77" s="149">
        <f t="shared" si="5"/>
        <v>21962625.518441033</v>
      </c>
      <c r="I77" s="129"/>
      <c r="J77" s="129"/>
      <c r="K77" s="129"/>
      <c r="L77" s="129"/>
      <c r="M77" s="129"/>
      <c r="N77" s="129"/>
      <c r="O77" s="129"/>
      <c r="P77" s="129"/>
    </row>
    <row r="78" spans="1:16" ht="16.2" thickBot="1" x14ac:dyDescent="0.35">
      <c r="A78" s="129"/>
      <c r="B78" s="129"/>
      <c r="C78" s="129"/>
      <c r="D78" s="151">
        <v>45</v>
      </c>
      <c r="E78" s="152">
        <f t="shared" si="13"/>
        <v>21962625.518441033</v>
      </c>
      <c r="F78" s="152">
        <f t="shared" si="3"/>
        <v>0</v>
      </c>
      <c r="G78" s="153">
        <f t="shared" si="4"/>
        <v>2635515.062212924</v>
      </c>
      <c r="H78" s="152">
        <f t="shared" si="5"/>
        <v>24598140.580653958</v>
      </c>
      <c r="I78" s="129"/>
      <c r="J78" s="129"/>
      <c r="K78" s="129"/>
      <c r="L78" s="129"/>
      <c r="M78" s="129"/>
      <c r="N78" s="129"/>
      <c r="O78" s="129"/>
      <c r="P78" s="129"/>
    </row>
    <row r="79" spans="1:16" ht="16.2" thickTop="1" x14ac:dyDescent="0.3">
      <c r="A79" s="129"/>
      <c r="B79" s="129"/>
      <c r="C79" s="129"/>
      <c r="D79" s="164">
        <v>46</v>
      </c>
      <c r="E79" s="165">
        <f t="shared" si="13"/>
        <v>24598140.580653958</v>
      </c>
      <c r="F79" s="165">
        <f t="shared" si="3"/>
        <v>0</v>
      </c>
      <c r="G79" s="166">
        <f t="shared" si="4"/>
        <v>2951776.869678475</v>
      </c>
      <c r="H79" s="165">
        <f t="shared" si="5"/>
        <v>27549917.450332433</v>
      </c>
      <c r="I79" s="129"/>
      <c r="J79" s="129"/>
      <c r="K79" s="129"/>
      <c r="L79" s="129"/>
      <c r="M79" s="129"/>
      <c r="N79" s="129"/>
      <c r="O79" s="129"/>
      <c r="P79" s="129"/>
    </row>
    <row r="80" spans="1:16" ht="15.6" x14ac:dyDescent="0.3">
      <c r="A80" s="129"/>
      <c r="B80" s="129"/>
      <c r="C80" s="129"/>
      <c r="D80" s="148">
        <v>47</v>
      </c>
      <c r="E80" s="167">
        <f t="shared" ref="E80:E83" si="14">+H79</f>
        <v>27549917.450332433</v>
      </c>
      <c r="F80" s="149">
        <f t="shared" si="3"/>
        <v>0</v>
      </c>
      <c r="G80" s="150">
        <f t="shared" si="4"/>
        <v>3305990.0940398923</v>
      </c>
      <c r="H80" s="149">
        <f t="shared" si="5"/>
        <v>30855907.544372324</v>
      </c>
      <c r="I80" s="129"/>
      <c r="J80" s="129"/>
      <c r="K80" s="129"/>
      <c r="L80" s="129"/>
      <c r="M80" s="129"/>
      <c r="N80" s="129"/>
      <c r="O80" s="129"/>
      <c r="P80" s="129"/>
    </row>
    <row r="81" spans="1:16" ht="15.6" x14ac:dyDescent="0.3">
      <c r="A81" s="129"/>
      <c r="B81" s="129"/>
      <c r="C81" s="129"/>
      <c r="D81" s="148">
        <v>48</v>
      </c>
      <c r="E81" s="149">
        <f t="shared" si="14"/>
        <v>30855907.544372324</v>
      </c>
      <c r="F81" s="149">
        <f t="shared" si="3"/>
        <v>0</v>
      </c>
      <c r="G81" s="150">
        <f t="shared" si="4"/>
        <v>3702708.9053246793</v>
      </c>
      <c r="H81" s="149">
        <f t="shared" si="5"/>
        <v>34558616.449697003</v>
      </c>
      <c r="I81" s="129"/>
      <c r="J81" s="129"/>
      <c r="K81" s="129"/>
      <c r="L81" s="129"/>
      <c r="M81" s="129"/>
      <c r="N81" s="129"/>
      <c r="O81" s="129"/>
      <c r="P81" s="129"/>
    </row>
    <row r="82" spans="1:16" ht="15.6" x14ac:dyDescent="0.3">
      <c r="A82" s="129"/>
      <c r="B82" s="129"/>
      <c r="C82" s="129"/>
      <c r="D82" s="148">
        <v>49</v>
      </c>
      <c r="E82" s="149">
        <f t="shared" si="14"/>
        <v>34558616.449697003</v>
      </c>
      <c r="F82" s="149">
        <f t="shared" si="3"/>
        <v>0</v>
      </c>
      <c r="G82" s="150">
        <f t="shared" si="4"/>
        <v>4147033.9739636406</v>
      </c>
      <c r="H82" s="149">
        <f t="shared" si="5"/>
        <v>38705650.423660643</v>
      </c>
      <c r="I82" s="129"/>
      <c r="J82" s="129"/>
      <c r="K82" s="129"/>
      <c r="L82" s="129"/>
      <c r="M82" s="129"/>
      <c r="N82" s="129"/>
      <c r="O82" s="129"/>
      <c r="P82" s="129"/>
    </row>
    <row r="83" spans="1:16" ht="16.2" thickBot="1" x14ac:dyDescent="0.35">
      <c r="A83" s="129"/>
      <c r="B83" s="129"/>
      <c r="C83" s="129"/>
      <c r="D83" s="151">
        <v>50</v>
      </c>
      <c r="E83" s="152">
        <f t="shared" si="14"/>
        <v>38705650.423660643</v>
      </c>
      <c r="F83" s="152">
        <f t="shared" si="3"/>
        <v>0</v>
      </c>
      <c r="G83" s="153">
        <f t="shared" si="4"/>
        <v>4644678.0508392779</v>
      </c>
      <c r="H83" s="152">
        <f t="shared" si="5"/>
        <v>43350328.474499919</v>
      </c>
      <c r="I83" s="129"/>
      <c r="J83" s="129"/>
      <c r="K83" s="129"/>
      <c r="L83" s="129"/>
      <c r="M83" s="129"/>
      <c r="N83" s="129"/>
      <c r="O83" s="129"/>
      <c r="P83" s="129"/>
    </row>
    <row r="84" spans="1:16" ht="15" thickTop="1" x14ac:dyDescent="0.3">
      <c r="A84" s="129"/>
      <c r="B84" s="129"/>
      <c r="C84" s="129"/>
      <c r="D84" s="129"/>
      <c r="E84" s="129"/>
      <c r="F84" s="129"/>
      <c r="G84" s="129"/>
      <c r="H84" s="129"/>
      <c r="I84" s="129"/>
      <c r="J84" s="129"/>
      <c r="K84" s="129"/>
      <c r="L84" s="129"/>
      <c r="M84" s="129"/>
      <c r="N84" s="129"/>
      <c r="O84" s="129"/>
      <c r="P84" s="129"/>
    </row>
    <row r="85" spans="1:16" x14ac:dyDescent="0.3">
      <c r="A85" s="129"/>
      <c r="B85" s="129"/>
      <c r="C85" s="129"/>
      <c r="D85" s="129"/>
      <c r="E85" s="129"/>
      <c r="F85" s="129"/>
      <c r="G85" s="129"/>
      <c r="H85" s="129"/>
      <c r="I85" s="129"/>
      <c r="J85" s="129"/>
      <c r="K85" s="129"/>
      <c r="L85" s="129"/>
      <c r="M85" s="129"/>
      <c r="N85" s="129"/>
      <c r="O85" s="129"/>
      <c r="P85" s="129"/>
    </row>
  </sheetData>
  <sheetProtection algorithmName="SHA-512" hashValue="MHvU+ZxZYNd3nEOjzDFKLcXhtvlYeBo+Xp2irA7gGd7j1c4HUdeGMkz9V0K4jZniw/9XVQ6RrMxtv3N9NJIpaA==" saltValue="VvgtnCVg7afzDAcUUpgGJw==" spinCount="100000" sheet="1" objects="1" scenarios="1"/>
  <mergeCells count="6">
    <mergeCell ref="A1:C5"/>
    <mergeCell ref="D3:J3"/>
    <mergeCell ref="E7:I9"/>
    <mergeCell ref="H25:L25"/>
    <mergeCell ref="D31:H31"/>
    <mergeCell ref="C13:F1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Calculadora VIVENDI</vt:lpstr>
      <vt:lpstr>Interés Compuesto VIVENDI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Gutierrez</dc:creator>
  <cp:lastModifiedBy>Mauricio Gutierrez</cp:lastModifiedBy>
  <dcterms:created xsi:type="dcterms:W3CDTF">2025-07-18T18:32:12Z</dcterms:created>
  <dcterms:modified xsi:type="dcterms:W3CDTF">2025-10-03T16:19:44Z</dcterms:modified>
</cp:coreProperties>
</file>